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drawings/drawing7.xml" ContentType="application/vnd.openxmlformats-officedocument.drawing+xml"/>
  <Override PartName="/xl/comments5.xml" ContentType="application/vnd.openxmlformats-officedocument.spreadsheetml.comments+xml"/>
  <Override PartName="/xl/drawings/drawing8.xml" ContentType="application/vnd.openxmlformats-officedocument.drawing+xml"/>
  <Override PartName="/xl/comments6.xml" ContentType="application/vnd.openxmlformats-officedocument.spreadsheetml.comments+xml"/>
  <Override PartName="/xl/drawings/drawing9.xml" ContentType="application/vnd.openxmlformats-officedocument.drawing+xml"/>
  <Override PartName="/xl/comments7.xml" ContentType="application/vnd.openxmlformats-officedocument.spreadsheetml.comments+xml"/>
  <Override PartName="/xl/drawings/drawing10.xml" ContentType="application/vnd.openxmlformats-officedocument.drawing+xml"/>
  <Override PartName="/xl/comments8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uawei\Desktop\Matrite Calcul 2026 ok\"/>
    </mc:Choice>
  </mc:AlternateContent>
  <xr:revisionPtr revIDLastSave="0" documentId="8_{DF319E6C-4175-4926-A289-ADF7E7C0A839}" xr6:coauthVersionLast="47" xr6:coauthVersionMax="47" xr10:uidLastSave="{00000000-0000-0000-0000-000000000000}"/>
  <bookViews>
    <workbookView xWindow="28680" yWindow="-120" windowWidth="29040" windowHeight="15720" tabRatio="967" xr2:uid="{00000000-000D-0000-FFFF-FFFF00000000}"/>
  </bookViews>
  <sheets>
    <sheet name="Sistem SlimFit" sheetId="12" r:id="rId1"/>
    <sheet name="Sistem HeatBoard" sheetId="10" r:id="rId2"/>
    <sheet name="Sistem HB+SF" sheetId="2" r:id="rId3"/>
    <sheet name="Calcul SF,HB,HB+SF " sheetId="4" r:id="rId4"/>
    <sheet name="Sistem SpeeTile10" sheetId="26" r:id="rId5"/>
    <sheet name="SpeeTherm15-30" sheetId="27" r:id="rId6"/>
    <sheet name="SistemSpeeTile10+SpeeTherm15-30" sheetId="28" r:id="rId7"/>
    <sheet name="CalculSpeeTile10+SpeeTherm15-30" sheetId="29" r:id="rId8"/>
    <sheet name="Sistem DryFloor" sheetId="15" r:id="rId9"/>
    <sheet name="Sistem DF+SF" sheetId="14" r:id="rId10"/>
    <sheet name="Calcul DF,DF+SF" sheetId="22" r:id="rId11"/>
    <sheet name="Sistem Folie Tacker" sheetId="6" r:id="rId12"/>
    <sheet name="Sistem Placa Tacker " sheetId="23" r:id="rId13"/>
    <sheet name="Calcul Folie+Placa Tacker" sheetId="18" r:id="rId14"/>
    <sheet name="Sistem Nuturi" sheetId="7" r:id="rId15"/>
    <sheet name="Calcul Nuturi" sheetId="21" r:id="rId16"/>
    <sheet name="Sistem FiberBoard" sheetId="24" r:id="rId17"/>
    <sheet name="Calcul FiberBoard" sheetId="25" r:id="rId18"/>
    <sheet name="Toate sistemele agent termic" sheetId="16" r:id="rId19"/>
  </sheets>
  <definedNames>
    <definedName name="_xlnm._FilterDatabase" localSheetId="9" hidden="1">'Sistem DF+SF'!$H$20:$H$145</definedName>
    <definedName name="_xlnm._FilterDatabase" localSheetId="8" hidden="1">'Sistem DryFloor'!$H$20:$H$123</definedName>
    <definedName name="_xlnm._FilterDatabase" localSheetId="16" hidden="1">'Sistem FiberBoard'!$H$20:$H$124</definedName>
    <definedName name="_xlnm._FilterDatabase" localSheetId="11" hidden="1">'Sistem Folie Tacker'!$H$20:$H$130</definedName>
    <definedName name="_xlnm._FilterDatabase" localSheetId="2" hidden="1">'Sistem HB+SF'!$H$20:$H$138</definedName>
    <definedName name="_xlnm._FilterDatabase" localSheetId="1" hidden="1">'Sistem HeatBoard'!$H$20:$H$124</definedName>
    <definedName name="_xlnm._FilterDatabase" localSheetId="14" hidden="1">'Sistem Nuturi'!$H$21:$H$126</definedName>
    <definedName name="_xlnm._FilterDatabase" localSheetId="12" hidden="1">'Sistem Placa Tacker '!$H$20:$H$123</definedName>
    <definedName name="_xlnm._FilterDatabase" localSheetId="0" hidden="1">'Sistem SlimFit'!$H$21:$H$135</definedName>
    <definedName name="_xlnm._FilterDatabase" localSheetId="4" hidden="1">'Sistem SpeeTile10'!$H$15:$H$143</definedName>
    <definedName name="_xlnm._FilterDatabase" localSheetId="6" hidden="1">'SistemSpeeTile10+SpeeTherm15-30'!$H$15:$H$147</definedName>
    <definedName name="_xlnm._FilterDatabase" localSheetId="5" hidden="1">'SpeeTherm15-30'!$H$15:$H$147</definedName>
    <definedName name="_xlnm._FilterDatabase" localSheetId="18" hidden="1">'Toate sistemele agent termic'!$H$20:$H$228</definedName>
    <definedName name="_Hlk75355259" localSheetId="10">'Calcul DF,DF+SF'!#REF!</definedName>
    <definedName name="_Hlk75355259" localSheetId="17">'Calcul FiberBoard'!#REF!</definedName>
    <definedName name="_Hlk75355259" localSheetId="13">'Calcul Folie+Placa Tacker'!#REF!</definedName>
    <definedName name="_Hlk75355259" localSheetId="15">'Calcul Nuturi'!#REF!</definedName>
    <definedName name="_Hlk75355259" localSheetId="3">'Calcul SF,HB,HB+SF '!#REF!</definedName>
    <definedName name="_Hlk75355259" localSheetId="7">'CalculSpeeTile10+SpeeTherm15-30'!#REF!</definedName>
    <definedName name="_Hlk75355259" localSheetId="9">'Sistem DF+SF'!#REF!</definedName>
    <definedName name="_Hlk75355259" localSheetId="8">'Sistem DryFloor'!#REF!</definedName>
    <definedName name="_Hlk75355259" localSheetId="16">'Sistem FiberBoard'!#REF!</definedName>
    <definedName name="_Hlk75355259" localSheetId="11">'Sistem Folie Tacker'!#REF!</definedName>
    <definedName name="_Hlk75355259" localSheetId="2">'Sistem HB+SF'!#REF!</definedName>
    <definedName name="_Hlk75355259" localSheetId="1">'Sistem HeatBoard'!#REF!</definedName>
    <definedName name="_Hlk75355259" localSheetId="14">'Sistem Nuturi'!#REF!</definedName>
    <definedName name="_Hlk75355259" localSheetId="12">'Sistem Placa Tacker '!#REF!</definedName>
    <definedName name="_Hlk75355259" localSheetId="0">'Sistem SlimFit'!#REF!</definedName>
    <definedName name="_Hlk75355259" localSheetId="4">'Sistem SpeeTile10'!#REF!</definedName>
    <definedName name="_Hlk75355259" localSheetId="6">'SistemSpeeTile10+SpeeTherm15-30'!#REF!</definedName>
    <definedName name="_Hlk75355259" localSheetId="5">'SpeeTherm15-30'!#REF!</definedName>
    <definedName name="_Hlk75355259" localSheetId="18">'Toate sistemele agent termic'!#REF!</definedName>
    <definedName name="_Hlk77248064" localSheetId="10">'Calcul DF,DF+SF'!#REF!</definedName>
    <definedName name="_Hlk77248064" localSheetId="17">'Calcul FiberBoard'!#REF!</definedName>
    <definedName name="_Hlk77248064" localSheetId="13">'Calcul Folie+Placa Tacker'!#REF!</definedName>
    <definedName name="_Hlk77248064" localSheetId="15">'Calcul Nuturi'!#REF!</definedName>
    <definedName name="_Hlk77248064" localSheetId="3">'Calcul SF,HB,HB+SF '!#REF!</definedName>
    <definedName name="_Hlk77248064" localSheetId="7">'CalculSpeeTile10+SpeeTherm15-30'!#REF!</definedName>
    <definedName name="_Hlk77248064" localSheetId="9">'Sistem DF+SF'!#REF!</definedName>
    <definedName name="_Hlk77248064" localSheetId="8">'Sistem DryFloor'!#REF!</definedName>
    <definedName name="_Hlk77248064" localSheetId="16">'Sistem FiberBoard'!#REF!</definedName>
    <definedName name="_Hlk77248064" localSheetId="11">'Sistem Folie Tacker'!#REF!</definedName>
    <definedName name="_Hlk77248064" localSheetId="2">'Sistem HB+SF'!#REF!</definedName>
    <definedName name="_Hlk77248064" localSheetId="1">'Sistem HeatBoard'!#REF!</definedName>
    <definedName name="_Hlk77248064" localSheetId="14">'Sistem Nuturi'!#REF!</definedName>
    <definedName name="_Hlk77248064" localSheetId="12">'Sistem Placa Tacker '!#REF!</definedName>
    <definedName name="_Hlk77248064" localSheetId="0">'Sistem SlimFit'!#REF!</definedName>
    <definedName name="_Hlk77248064" localSheetId="4">'Sistem SpeeTile10'!#REF!</definedName>
    <definedName name="_Hlk77248064" localSheetId="6">'SistemSpeeTile10+SpeeTherm15-30'!#REF!</definedName>
    <definedName name="_Hlk77248064" localSheetId="5">'SpeeTherm15-30'!#REF!</definedName>
    <definedName name="_Hlk77248064" localSheetId="18">'Toate sistemele agent termic'!#REF!</definedName>
    <definedName name="_xlnm.Print_Area" localSheetId="10">'Calcul DF,DF+SF'!$A$3:$C$20</definedName>
    <definedName name="_xlnm.Print_Area" localSheetId="17">'Calcul FiberBoard'!$A$3:$C$20</definedName>
    <definedName name="_xlnm.Print_Area" localSheetId="13">'Calcul Folie+Placa Tacker'!$A$3:$C$20</definedName>
    <definedName name="_xlnm.Print_Area" localSheetId="15">'Calcul Nuturi'!$A$3:$C$20</definedName>
    <definedName name="_xlnm.Print_Area" localSheetId="3">'Calcul SF,HB,HB+SF '!$A$3:$C$20</definedName>
    <definedName name="_xlnm.Print_Area" localSheetId="7">'CalculSpeeTile10+SpeeTherm15-30'!$A$3:$C$20</definedName>
    <definedName name="_xlnm.Print_Area" localSheetId="9">'Sistem DF+SF'!$A$1:$G$166</definedName>
    <definedName name="_xlnm.Print_Area" localSheetId="8">'Sistem DryFloor'!$A$1:$G$144</definedName>
    <definedName name="_xlnm.Print_Area" localSheetId="16">'Sistem FiberBoard'!$A$1:$G$145</definedName>
    <definedName name="_xlnm.Print_Area" localSheetId="11">'Sistem Folie Tacker'!$A$1:$G$153</definedName>
    <definedName name="_xlnm.Print_Area" localSheetId="2">'Sistem HB+SF'!$A$1:$G$156</definedName>
    <definedName name="_xlnm.Print_Area" localSheetId="1">'Sistem HeatBoard'!$A$1:$G$142</definedName>
    <definedName name="_xlnm.Print_Area" localSheetId="14">'Sistem Nuturi'!$A$1:$G$148</definedName>
    <definedName name="_xlnm.Print_Area" localSheetId="12">'Sistem Placa Tacker '!$A$1:$G$145</definedName>
    <definedName name="_xlnm.Print_Area" localSheetId="0">'Sistem SlimFit'!$A$1:$G$152</definedName>
    <definedName name="_xlnm.Print_Area" localSheetId="4">'Sistem SpeeTile10'!$A$1:$G$161</definedName>
    <definedName name="_xlnm.Print_Area" localSheetId="6">'SistemSpeeTile10+SpeeTherm15-30'!$A$1:$G$164</definedName>
    <definedName name="_xlnm.Print_Area" localSheetId="5">'SpeeTherm15-30'!$A$1:$G$158</definedName>
    <definedName name="_xlnm.Print_Area" localSheetId="18">'Toate sistemele agent termic'!$A$1:$G$246</definedName>
    <definedName name="solver_adj" localSheetId="10" hidden="1">'Calcul DF,DF+SF'!$C$27</definedName>
    <definedName name="solver_adj" localSheetId="17" hidden="1">'Calcul FiberBoard'!$C$27</definedName>
    <definedName name="solver_adj" localSheetId="13" hidden="1">'Calcul Folie+Placa Tacker'!$C$27</definedName>
    <definedName name="solver_adj" localSheetId="15" hidden="1">'Calcul Nuturi'!#REF!</definedName>
    <definedName name="solver_adj" localSheetId="3" hidden="1">'Calcul SF,HB,HB+SF '!$C$27</definedName>
    <definedName name="solver_adj" localSheetId="7" hidden="1">'CalculSpeeTile10+SpeeTherm15-30'!$C$27</definedName>
    <definedName name="solver_eng" localSheetId="10" hidden="1">1</definedName>
    <definedName name="solver_eng" localSheetId="17" hidden="1">1</definedName>
    <definedName name="solver_eng" localSheetId="13" hidden="1">1</definedName>
    <definedName name="solver_eng" localSheetId="15" hidden="1">1</definedName>
    <definedName name="solver_eng" localSheetId="3" hidden="1">1</definedName>
    <definedName name="solver_eng" localSheetId="7" hidden="1">1</definedName>
    <definedName name="solver_eng" localSheetId="0" hidden="1">1</definedName>
    <definedName name="solver_neg" localSheetId="10" hidden="1">1</definedName>
    <definedName name="solver_neg" localSheetId="17" hidden="1">1</definedName>
    <definedName name="solver_neg" localSheetId="13" hidden="1">1</definedName>
    <definedName name="solver_neg" localSheetId="15" hidden="1">1</definedName>
    <definedName name="solver_neg" localSheetId="3" hidden="1">1</definedName>
    <definedName name="solver_neg" localSheetId="7" hidden="1">1</definedName>
    <definedName name="solver_neg" localSheetId="0" hidden="1">1</definedName>
    <definedName name="solver_num" localSheetId="10" hidden="1">0</definedName>
    <definedName name="solver_num" localSheetId="17" hidden="1">0</definedName>
    <definedName name="solver_num" localSheetId="13" hidden="1">0</definedName>
    <definedName name="solver_num" localSheetId="15" hidden="1">0</definedName>
    <definedName name="solver_num" localSheetId="3" hidden="1">0</definedName>
    <definedName name="solver_num" localSheetId="7" hidden="1">0</definedName>
    <definedName name="solver_num" localSheetId="0" hidden="1">0</definedName>
    <definedName name="solver_opt" localSheetId="10" hidden="1">'Calcul DF,DF+SF'!$C$24</definedName>
    <definedName name="solver_opt" localSheetId="17" hidden="1">'Calcul FiberBoard'!$C$24</definedName>
    <definedName name="solver_opt" localSheetId="13" hidden="1">'Calcul Folie+Placa Tacker'!$C$24</definedName>
    <definedName name="solver_opt" localSheetId="15" hidden="1">'Calcul Nuturi'!$C$24</definedName>
    <definedName name="solver_opt" localSheetId="3" hidden="1">'Calcul SF,HB,HB+SF '!$C$24</definedName>
    <definedName name="solver_opt" localSheetId="7" hidden="1">'CalculSpeeTile10+SpeeTherm15-30'!$C$24</definedName>
    <definedName name="solver_typ" localSheetId="10" hidden="1">1</definedName>
    <definedName name="solver_typ" localSheetId="17" hidden="1">1</definedName>
    <definedName name="solver_typ" localSheetId="13" hidden="1">1</definedName>
    <definedName name="solver_typ" localSheetId="15" hidden="1">1</definedName>
    <definedName name="solver_typ" localSheetId="3" hidden="1">1</definedName>
    <definedName name="solver_typ" localSheetId="7" hidden="1">1</definedName>
    <definedName name="solver_typ" localSheetId="0" hidden="1">1</definedName>
    <definedName name="solver_val" localSheetId="10" hidden="1">0</definedName>
    <definedName name="solver_val" localSheetId="17" hidden="1">0</definedName>
    <definedName name="solver_val" localSheetId="13" hidden="1">0</definedName>
    <definedName name="solver_val" localSheetId="15" hidden="1">0</definedName>
    <definedName name="solver_val" localSheetId="3" hidden="1">0</definedName>
    <definedName name="solver_val" localSheetId="7" hidden="1">0</definedName>
    <definedName name="solver_val" localSheetId="0" hidden="1">0</definedName>
    <definedName name="solver_ver" localSheetId="10" hidden="1">3</definedName>
    <definedName name="solver_ver" localSheetId="17" hidden="1">3</definedName>
    <definedName name="solver_ver" localSheetId="13" hidden="1">3</definedName>
    <definedName name="solver_ver" localSheetId="15" hidden="1">3</definedName>
    <definedName name="solver_ver" localSheetId="3" hidden="1">3</definedName>
    <definedName name="solver_ver" localSheetId="7" hidden="1">3</definedName>
    <definedName name="solver_ver" localSheetId="0" hidden="1">3</definedName>
  </definedNames>
  <calcPr calcId="191029"/>
  <extLst>
    <ext xmlns:x14="http://schemas.microsoft.com/office/spreadsheetml/2009/9/main" uri="{79F54976-1DA5-4618-B147-4CDE4B953A38}">
      <x14:workbookPr defaultImageDpi="32767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24" i="29" l="1"/>
  <c r="Q24" i="29"/>
  <c r="H120" i="7" l="1"/>
  <c r="H117" i="23"/>
  <c r="H124" i="6"/>
  <c r="H139" i="14"/>
  <c r="H117" i="15"/>
  <c r="H137" i="26"/>
  <c r="H141" i="28"/>
  <c r="E18" i="28"/>
  <c r="E17" i="28" s="1"/>
  <c r="E18" i="27"/>
  <c r="E17" i="27" s="1"/>
  <c r="AC24" i="29"/>
  <c r="AB24" i="29"/>
  <c r="AA24" i="29"/>
  <c r="Y24" i="29"/>
  <c r="Z22" i="29"/>
  <c r="W22" i="29"/>
  <c r="AC20" i="29"/>
  <c r="AB22" i="29" s="1"/>
  <c r="X20" i="29"/>
  <c r="R20" i="29"/>
  <c r="T22" i="29" s="1"/>
  <c r="M20" i="29"/>
  <c r="L22" i="29" s="1"/>
  <c r="G20" i="29"/>
  <c r="B20" i="29"/>
  <c r="A22" i="29" s="1"/>
  <c r="A24" i="29" s="1"/>
  <c r="AF19" i="29"/>
  <c r="AE19" i="29"/>
  <c r="AD19" i="29"/>
  <c r="Z19" i="29"/>
  <c r="AA19" i="29" s="1"/>
  <c r="Y19" i="29"/>
  <c r="T19" i="29"/>
  <c r="U19" i="29" s="1"/>
  <c r="S19" i="29"/>
  <c r="O19" i="29"/>
  <c r="P19" i="29" s="1"/>
  <c r="N19" i="29"/>
  <c r="J19" i="29"/>
  <c r="I19" i="29"/>
  <c r="H19" i="29"/>
  <c r="D19" i="29"/>
  <c r="E19" i="29" s="1"/>
  <c r="C19" i="29"/>
  <c r="AE18" i="29"/>
  <c r="AF18" i="29" s="1"/>
  <c r="AD18" i="29"/>
  <c r="Z18" i="29"/>
  <c r="AA18" i="29" s="1"/>
  <c r="Y18" i="29"/>
  <c r="U18" i="29"/>
  <c r="T18" i="29"/>
  <c r="S18" i="29"/>
  <c r="O18" i="29"/>
  <c r="P18" i="29" s="1"/>
  <c r="N18" i="29"/>
  <c r="H18" i="29"/>
  <c r="I18" i="29" s="1"/>
  <c r="J18" i="29" s="1"/>
  <c r="D18" i="29"/>
  <c r="E18" i="29" s="1"/>
  <c r="C18" i="29"/>
  <c r="AF17" i="29"/>
  <c r="AE17" i="29"/>
  <c r="AD17" i="29"/>
  <c r="Z17" i="29"/>
  <c r="AA17" i="29" s="1"/>
  <c r="Y17" i="29"/>
  <c r="T17" i="29"/>
  <c r="U17" i="29" s="1"/>
  <c r="S17" i="29"/>
  <c r="O17" i="29"/>
  <c r="P17" i="29" s="1"/>
  <c r="N17" i="29"/>
  <c r="I17" i="29"/>
  <c r="J17" i="29" s="1"/>
  <c r="H17" i="29"/>
  <c r="D17" i="29"/>
  <c r="E17" i="29" s="1"/>
  <c r="C17" i="29"/>
  <c r="AE16" i="29"/>
  <c r="AF16" i="29" s="1"/>
  <c r="AD16" i="29"/>
  <c r="Z16" i="29"/>
  <c r="AA16" i="29" s="1"/>
  <c r="Y16" i="29"/>
  <c r="U16" i="29"/>
  <c r="T16" i="29"/>
  <c r="S16" i="29"/>
  <c r="O16" i="29"/>
  <c r="P16" i="29" s="1"/>
  <c r="N16" i="29"/>
  <c r="I16" i="29"/>
  <c r="J16" i="29" s="1"/>
  <c r="H16" i="29"/>
  <c r="D16" i="29"/>
  <c r="E16" i="29" s="1"/>
  <c r="C16" i="29"/>
  <c r="AF15" i="29"/>
  <c r="AE15" i="29"/>
  <c r="AD15" i="29"/>
  <c r="Z15" i="29"/>
  <c r="AA15" i="29" s="1"/>
  <c r="Y15" i="29"/>
  <c r="T15" i="29"/>
  <c r="U15" i="29" s="1"/>
  <c r="S15" i="29"/>
  <c r="O15" i="29"/>
  <c r="P15" i="29" s="1"/>
  <c r="N15" i="29"/>
  <c r="I15" i="29"/>
  <c r="J15" i="29" s="1"/>
  <c r="H15" i="29"/>
  <c r="D15" i="29"/>
  <c r="E15" i="29" s="1"/>
  <c r="C15" i="29"/>
  <c r="AE14" i="29"/>
  <c r="AF14" i="29" s="1"/>
  <c r="AD14" i="29"/>
  <c r="Z14" i="29"/>
  <c r="AA14" i="29" s="1"/>
  <c r="Y14" i="29"/>
  <c r="U14" i="29"/>
  <c r="T14" i="29"/>
  <c r="S14" i="29"/>
  <c r="O14" i="29"/>
  <c r="P14" i="29" s="1"/>
  <c r="N14" i="29"/>
  <c r="I14" i="29"/>
  <c r="J14" i="29" s="1"/>
  <c r="H14" i="29"/>
  <c r="D14" i="29"/>
  <c r="E14" i="29" s="1"/>
  <c r="C14" i="29"/>
  <c r="AF13" i="29"/>
  <c r="AE13" i="29"/>
  <c r="AD13" i="29"/>
  <c r="Z13" i="29"/>
  <c r="AA13" i="29" s="1"/>
  <c r="Y13" i="29"/>
  <c r="T13" i="29"/>
  <c r="U13" i="29" s="1"/>
  <c r="S13" i="29"/>
  <c r="O13" i="29"/>
  <c r="P13" i="29" s="1"/>
  <c r="N13" i="29"/>
  <c r="J13" i="29"/>
  <c r="I13" i="29"/>
  <c r="H13" i="29"/>
  <c r="D13" i="29"/>
  <c r="E13" i="29" s="1"/>
  <c r="C13" i="29"/>
  <c r="AE12" i="29"/>
  <c r="AF12" i="29" s="1"/>
  <c r="AD12" i="29"/>
  <c r="Z12" i="29"/>
  <c r="AA12" i="29" s="1"/>
  <c r="Y12" i="29"/>
  <c r="U12" i="29"/>
  <c r="T12" i="29"/>
  <c r="S12" i="29"/>
  <c r="O12" i="29"/>
  <c r="P12" i="29" s="1"/>
  <c r="N12" i="29"/>
  <c r="I12" i="29"/>
  <c r="J12" i="29" s="1"/>
  <c r="H12" i="29"/>
  <c r="D12" i="29"/>
  <c r="E12" i="29" s="1"/>
  <c r="C12" i="29"/>
  <c r="AF11" i="29"/>
  <c r="AE11" i="29"/>
  <c r="AD11" i="29"/>
  <c r="Z11" i="29"/>
  <c r="AA11" i="29" s="1"/>
  <c r="Y11" i="29"/>
  <c r="T11" i="29"/>
  <c r="U11" i="29" s="1"/>
  <c r="S11" i="29"/>
  <c r="O11" i="29"/>
  <c r="P11" i="29" s="1"/>
  <c r="N11" i="29"/>
  <c r="I11" i="29"/>
  <c r="J11" i="29" s="1"/>
  <c r="H11" i="29"/>
  <c r="D11" i="29"/>
  <c r="E11" i="29" s="1"/>
  <c r="C11" i="29"/>
  <c r="AE10" i="29"/>
  <c r="AF10" i="29" s="1"/>
  <c r="AD10" i="29"/>
  <c r="Z10" i="29"/>
  <c r="AA10" i="29" s="1"/>
  <c r="Y10" i="29"/>
  <c r="U10" i="29"/>
  <c r="T10" i="29"/>
  <c r="S10" i="29"/>
  <c r="O10" i="29"/>
  <c r="P10" i="29" s="1"/>
  <c r="N10" i="29"/>
  <c r="I10" i="29"/>
  <c r="J10" i="29" s="1"/>
  <c r="H10" i="29"/>
  <c r="D10" i="29"/>
  <c r="E10" i="29" s="1"/>
  <c r="C10" i="29"/>
  <c r="AF9" i="29"/>
  <c r="AE9" i="29"/>
  <c r="AD9" i="29"/>
  <c r="Z9" i="29"/>
  <c r="AA9" i="29" s="1"/>
  <c r="Y9" i="29"/>
  <c r="T9" i="29"/>
  <c r="U9" i="29" s="1"/>
  <c r="S9" i="29"/>
  <c r="O9" i="29"/>
  <c r="P9" i="29" s="1"/>
  <c r="N9" i="29"/>
  <c r="I9" i="29"/>
  <c r="J9" i="29" s="1"/>
  <c r="H9" i="29"/>
  <c r="D9" i="29"/>
  <c r="E9" i="29" s="1"/>
  <c r="C9" i="29"/>
  <c r="AE8" i="29"/>
  <c r="AF8" i="29" s="1"/>
  <c r="AD8" i="29"/>
  <c r="AA8" i="29"/>
  <c r="Z8" i="29"/>
  <c r="Y8" i="29"/>
  <c r="U8" i="29"/>
  <c r="T8" i="29"/>
  <c r="S8" i="29"/>
  <c r="O8" i="29"/>
  <c r="P8" i="29" s="1"/>
  <c r="N8" i="29"/>
  <c r="I8" i="29"/>
  <c r="J8" i="29" s="1"/>
  <c r="H8" i="29"/>
  <c r="D8" i="29"/>
  <c r="E8" i="29" s="1"/>
  <c r="C8" i="29"/>
  <c r="AF7" i="29"/>
  <c r="AE7" i="29"/>
  <c r="AD7" i="29"/>
  <c r="Z7" i="29"/>
  <c r="AA7" i="29" s="1"/>
  <c r="Y7" i="29"/>
  <c r="T7" i="29"/>
  <c r="U7" i="29" s="1"/>
  <c r="S7" i="29"/>
  <c r="O7" i="29"/>
  <c r="P7" i="29" s="1"/>
  <c r="N7" i="29"/>
  <c r="I7" i="29"/>
  <c r="J7" i="29" s="1"/>
  <c r="H7" i="29"/>
  <c r="D7" i="29"/>
  <c r="E7" i="29" s="1"/>
  <c r="C7" i="29"/>
  <c r="AE6" i="29"/>
  <c r="AF6" i="29" s="1"/>
  <c r="AD6" i="29"/>
  <c r="Z6" i="29"/>
  <c r="AA6" i="29" s="1"/>
  <c r="Y6" i="29"/>
  <c r="U6" i="29"/>
  <c r="T6" i="29"/>
  <c r="S6" i="29"/>
  <c r="O6" i="29"/>
  <c r="P6" i="29" s="1"/>
  <c r="N6" i="29"/>
  <c r="I6" i="29"/>
  <c r="J6" i="29" s="1"/>
  <c r="H6" i="29"/>
  <c r="D6" i="29"/>
  <c r="E6" i="29" s="1"/>
  <c r="C6" i="29"/>
  <c r="AF5" i="29"/>
  <c r="AE5" i="29"/>
  <c r="AE20" i="29" s="1"/>
  <c r="AD5" i="29"/>
  <c r="AD20" i="29" s="1"/>
  <c r="Z5" i="29"/>
  <c r="AA5" i="29" s="1"/>
  <c r="Y5" i="29"/>
  <c r="T5" i="29"/>
  <c r="U5" i="29" s="1"/>
  <c r="S5" i="29"/>
  <c r="O5" i="29"/>
  <c r="P5" i="29" s="1"/>
  <c r="N5" i="29"/>
  <c r="N20" i="29" s="1"/>
  <c r="J5" i="29"/>
  <c r="I5" i="29"/>
  <c r="H5" i="29"/>
  <c r="D5" i="29"/>
  <c r="E5" i="29" s="1"/>
  <c r="C5" i="29"/>
  <c r="AE4" i="29"/>
  <c r="AF4" i="29" s="1"/>
  <c r="AF20" i="29" s="1"/>
  <c r="AD4" i="29"/>
  <c r="Z4" i="29"/>
  <c r="Z20" i="29" s="1"/>
  <c r="Y4" i="29"/>
  <c r="Y20" i="29" s="1"/>
  <c r="U4" i="29"/>
  <c r="T4" i="29"/>
  <c r="T20" i="29" s="1"/>
  <c r="S4" i="29"/>
  <c r="S20" i="29" s="1"/>
  <c r="O4" i="29"/>
  <c r="O20" i="29" s="1"/>
  <c r="N4" i="29"/>
  <c r="H4" i="29"/>
  <c r="D4" i="29"/>
  <c r="E4" i="29" s="1"/>
  <c r="C4" i="29"/>
  <c r="C20" i="29" l="1"/>
  <c r="H20" i="29"/>
  <c r="I4" i="29"/>
  <c r="I20" i="29" s="1"/>
  <c r="I22" i="29"/>
  <c r="E20" i="29"/>
  <c r="U24" i="29"/>
  <c r="V24" i="29"/>
  <c r="U20" i="29"/>
  <c r="AF24" i="29"/>
  <c r="AG24" i="29"/>
  <c r="O22" i="29"/>
  <c r="AA4" i="29"/>
  <c r="AA20" i="29" s="1"/>
  <c r="D20" i="29"/>
  <c r="Q22" i="29"/>
  <c r="D22" i="29"/>
  <c r="R22" i="29"/>
  <c r="S22" i="29" s="1"/>
  <c r="AE22" i="29"/>
  <c r="X24" i="29"/>
  <c r="G24" i="29"/>
  <c r="J4" i="29"/>
  <c r="J20" i="29" s="1"/>
  <c r="G22" i="29"/>
  <c r="H22" i="29" s="1"/>
  <c r="AC22" i="29"/>
  <c r="F22" i="29"/>
  <c r="B24" i="29" s="1"/>
  <c r="X22" i="29"/>
  <c r="Y22" i="29" s="1"/>
  <c r="E24" i="29"/>
  <c r="P4" i="29"/>
  <c r="P20" i="29" s="1"/>
  <c r="M22" i="29" l="1"/>
  <c r="N22" i="29" s="1"/>
  <c r="AH24" i="29"/>
  <c r="AD24" i="29"/>
  <c r="AF22" i="29"/>
  <c r="AG22" i="29"/>
  <c r="AE24" i="29"/>
  <c r="W24" i="29"/>
  <c r="T24" i="29" s="1"/>
  <c r="B22" i="29"/>
  <c r="C24" i="29" s="1"/>
  <c r="P24" i="29" s="1"/>
  <c r="K24" i="29"/>
  <c r="H24" i="29" s="1"/>
  <c r="J24" i="29"/>
  <c r="AD22" i="29"/>
  <c r="S24" i="29"/>
  <c r="V22" i="29"/>
  <c r="U22" i="29"/>
  <c r="J22" i="29"/>
  <c r="K22" i="29"/>
  <c r="C22" i="29" l="1"/>
  <c r="F24" i="29"/>
  <c r="N24" i="29"/>
  <c r="M24" i="29"/>
  <c r="L24" i="29"/>
  <c r="I24" i="29" s="1"/>
  <c r="E18" i="26" l="1"/>
  <c r="G18" i="26" s="1"/>
  <c r="H177" i="16"/>
  <c r="G177" i="16"/>
  <c r="H176" i="16"/>
  <c r="G176" i="16"/>
  <c r="H175" i="16"/>
  <c r="G175" i="16"/>
  <c r="H174" i="16"/>
  <c r="G174" i="16"/>
  <c r="H173" i="16"/>
  <c r="G172" i="16"/>
  <c r="H172" i="16"/>
  <c r="H171" i="16"/>
  <c r="G171" i="16"/>
  <c r="H170" i="16"/>
  <c r="G170" i="16"/>
  <c r="H169" i="16"/>
  <c r="G169" i="16"/>
  <c r="H168" i="16"/>
  <c r="G168" i="16"/>
  <c r="H167" i="16"/>
  <c r="H166" i="16"/>
  <c r="G166" i="16"/>
  <c r="H165" i="16"/>
  <c r="G165" i="16"/>
  <c r="H164" i="16"/>
  <c r="G164" i="16"/>
  <c r="H163" i="16"/>
  <c r="H162" i="16"/>
  <c r="G162" i="16"/>
  <c r="H160" i="16"/>
  <c r="G160" i="16"/>
  <c r="H159" i="16"/>
  <c r="G159" i="16"/>
  <c r="H158" i="16"/>
  <c r="H157" i="16"/>
  <c r="H156" i="16" s="1"/>
  <c r="G157" i="16"/>
  <c r="H155" i="16"/>
  <c r="G155" i="16"/>
  <c r="H154" i="16"/>
  <c r="H153" i="16"/>
  <c r="H152" i="16" s="1"/>
  <c r="H151" i="16"/>
  <c r="H149" i="16"/>
  <c r="H147" i="16"/>
  <c r="G147" i="16"/>
  <c r="H146" i="16"/>
  <c r="G146" i="16"/>
  <c r="H145" i="16"/>
  <c r="G145" i="16"/>
  <c r="H143" i="16"/>
  <c r="G143" i="16"/>
  <c r="H142" i="16"/>
  <c r="G142" i="16"/>
  <c r="H141" i="16"/>
  <c r="G141" i="16"/>
  <c r="H140" i="16"/>
  <c r="G140" i="16"/>
  <c r="H139" i="16"/>
  <c r="G139" i="16"/>
  <c r="H138" i="16"/>
  <c r="G138" i="16"/>
  <c r="H137" i="16"/>
  <c r="G137" i="16"/>
  <c r="H136" i="16"/>
  <c r="G136" i="16"/>
  <c r="H135" i="16"/>
  <c r="G135" i="16"/>
  <c r="H134" i="16"/>
  <c r="H132" i="16" s="1"/>
  <c r="G134" i="16"/>
  <c r="H133" i="16"/>
  <c r="G133" i="16"/>
  <c r="H131" i="16"/>
  <c r="H130" i="16"/>
  <c r="H129" i="16"/>
  <c r="G129" i="16"/>
  <c r="H128" i="16"/>
  <c r="H127" i="16"/>
  <c r="H126" i="16"/>
  <c r="H125" i="16"/>
  <c r="G125" i="16"/>
  <c r="H124" i="16"/>
  <c r="H123" i="16"/>
  <c r="H122" i="16"/>
  <c r="H121" i="16"/>
  <c r="G121" i="16"/>
  <c r="H120" i="16"/>
  <c r="H119" i="16"/>
  <c r="H118" i="16"/>
  <c r="H117" i="16"/>
  <c r="G117" i="16"/>
  <c r="H115" i="16"/>
  <c r="G115" i="16"/>
  <c r="G114" i="16"/>
  <c r="E70" i="27"/>
  <c r="E65" i="28"/>
  <c r="H65" i="28" s="1"/>
  <c r="E71" i="28"/>
  <c r="H71" i="28" s="1"/>
  <c r="E66" i="26"/>
  <c r="H79" i="28"/>
  <c r="G79" i="28"/>
  <c r="H77" i="28"/>
  <c r="G77" i="28"/>
  <c r="H74" i="28"/>
  <c r="G74" i="28"/>
  <c r="H73" i="28"/>
  <c r="G73" i="28"/>
  <c r="H60" i="28"/>
  <c r="H59" i="28" s="1"/>
  <c r="G60" i="28"/>
  <c r="H49" i="28"/>
  <c r="G49" i="28"/>
  <c r="H48" i="28"/>
  <c r="G48" i="28"/>
  <c r="H46" i="28"/>
  <c r="G46" i="28"/>
  <c r="H45" i="28"/>
  <c r="G45" i="28"/>
  <c r="H44" i="28"/>
  <c r="G44" i="28"/>
  <c r="H43" i="28"/>
  <c r="G43" i="28"/>
  <c r="H42" i="28"/>
  <c r="G42" i="28"/>
  <c r="H41" i="28"/>
  <c r="G41" i="28"/>
  <c r="H40" i="28"/>
  <c r="G40" i="28"/>
  <c r="H39" i="28"/>
  <c r="G39" i="28"/>
  <c r="H38" i="28"/>
  <c r="G38" i="28"/>
  <c r="H37" i="28"/>
  <c r="G37" i="28"/>
  <c r="H36" i="28"/>
  <c r="G36" i="28"/>
  <c r="H77" i="27"/>
  <c r="G77" i="27"/>
  <c r="H75" i="27"/>
  <c r="G75" i="27"/>
  <c r="H72" i="27"/>
  <c r="G72" i="27"/>
  <c r="H71" i="27"/>
  <c r="G71" i="27"/>
  <c r="H58" i="27"/>
  <c r="H57" i="27" s="1"/>
  <c r="G58" i="27"/>
  <c r="H49" i="27"/>
  <c r="G49" i="27"/>
  <c r="H48" i="27"/>
  <c r="G48" i="27"/>
  <c r="H46" i="27"/>
  <c r="G46" i="27"/>
  <c r="H45" i="27"/>
  <c r="G45" i="27"/>
  <c r="H44" i="27"/>
  <c r="G44" i="27"/>
  <c r="H43" i="27"/>
  <c r="G43" i="27"/>
  <c r="H42" i="27"/>
  <c r="G42" i="27"/>
  <c r="H41" i="27"/>
  <c r="G41" i="27"/>
  <c r="H40" i="27"/>
  <c r="G40" i="27"/>
  <c r="H39" i="27"/>
  <c r="G39" i="27"/>
  <c r="H38" i="27"/>
  <c r="G38" i="27"/>
  <c r="H37" i="27"/>
  <c r="G37" i="27"/>
  <c r="H36" i="27"/>
  <c r="G36" i="27"/>
  <c r="H35" i="27"/>
  <c r="H75" i="26"/>
  <c r="G75" i="26"/>
  <c r="H73" i="26"/>
  <c r="G73" i="26"/>
  <c r="H70" i="26"/>
  <c r="G70" i="26"/>
  <c r="H69" i="26"/>
  <c r="G69" i="26"/>
  <c r="H57" i="26"/>
  <c r="G57" i="26"/>
  <c r="H49" i="26"/>
  <c r="G49" i="26"/>
  <c r="H48" i="26"/>
  <c r="G48" i="26"/>
  <c r="H46" i="26"/>
  <c r="G46" i="26"/>
  <c r="H45" i="26"/>
  <c r="G45" i="26"/>
  <c r="H44" i="26"/>
  <c r="G44" i="26"/>
  <c r="H43" i="26"/>
  <c r="G43" i="26"/>
  <c r="H42" i="26"/>
  <c r="G42" i="26"/>
  <c r="H41" i="26"/>
  <c r="G41" i="26"/>
  <c r="H40" i="26"/>
  <c r="G40" i="26"/>
  <c r="H39" i="26"/>
  <c r="G39" i="26"/>
  <c r="H38" i="26"/>
  <c r="G38" i="26"/>
  <c r="H37" i="26"/>
  <c r="G37" i="26"/>
  <c r="H36" i="26"/>
  <c r="H35" i="26" s="1"/>
  <c r="G36" i="26"/>
  <c r="H18" i="28" l="1"/>
  <c r="H18" i="27"/>
  <c r="E17" i="26"/>
  <c r="G17" i="26" s="1"/>
  <c r="H18" i="26"/>
  <c r="H17" i="26"/>
  <c r="G17" i="27"/>
  <c r="H17" i="27"/>
  <c r="G18" i="27"/>
  <c r="G17" i="28"/>
  <c r="H17" i="28"/>
  <c r="G18" i="28"/>
  <c r="H35" i="28"/>
  <c r="E64" i="27"/>
  <c r="G64" i="27" s="1"/>
  <c r="E66" i="28"/>
  <c r="H66" i="28" s="1"/>
  <c r="E63" i="27"/>
  <c r="H63" i="27" s="1"/>
  <c r="E68" i="26"/>
  <c r="H68" i="26" s="1"/>
  <c r="E72" i="28"/>
  <c r="H72" i="28" s="1"/>
  <c r="E61" i="26"/>
  <c r="H61" i="26" s="1"/>
  <c r="E67" i="26"/>
  <c r="H67" i="26" s="1"/>
  <c r="E69" i="27"/>
  <c r="H69" i="27" s="1"/>
  <c r="E140" i="27"/>
  <c r="G140" i="27" s="1"/>
  <c r="G66" i="26"/>
  <c r="H66" i="26"/>
  <c r="E68" i="27"/>
  <c r="G68" i="27" s="1"/>
  <c r="E70" i="28"/>
  <c r="H70" i="28" s="1"/>
  <c r="E62" i="26"/>
  <c r="G62" i="26" s="1"/>
  <c r="E55" i="27"/>
  <c r="H161" i="16"/>
  <c r="H148" i="16"/>
  <c r="G148" i="16"/>
  <c r="G150" i="16"/>
  <c r="H150" i="16"/>
  <c r="H116" i="16"/>
  <c r="G173" i="16"/>
  <c r="G118" i="16"/>
  <c r="G122" i="16"/>
  <c r="G126" i="16"/>
  <c r="G130" i="16"/>
  <c r="G151" i="16"/>
  <c r="H114" i="16"/>
  <c r="H113" i="16" s="1"/>
  <c r="G119" i="16"/>
  <c r="G123" i="16"/>
  <c r="G127" i="16"/>
  <c r="G131" i="16"/>
  <c r="G120" i="16"/>
  <c r="G124" i="16"/>
  <c r="G128" i="16"/>
  <c r="G149" i="16"/>
  <c r="G158" i="16"/>
  <c r="G153" i="16"/>
  <c r="G163" i="16"/>
  <c r="G167" i="16"/>
  <c r="E141" i="26"/>
  <c r="E55" i="26"/>
  <c r="D7" i="26"/>
  <c r="G65" i="28"/>
  <c r="E132" i="27"/>
  <c r="D7" i="28"/>
  <c r="D7" i="27"/>
  <c r="E145" i="28"/>
  <c r="E57" i="28"/>
  <c r="E137" i="28"/>
  <c r="E55" i="28"/>
  <c r="H70" i="27"/>
  <c r="G70" i="27"/>
  <c r="E133" i="26"/>
  <c r="G71" i="28"/>
  <c r="H140" i="27" l="1"/>
  <c r="G68" i="26"/>
  <c r="H64" i="27"/>
  <c r="G66" i="28"/>
  <c r="G63" i="27"/>
  <c r="G67" i="26"/>
  <c r="G72" i="28"/>
  <c r="G61" i="26"/>
  <c r="G69" i="27"/>
  <c r="E56" i="26"/>
  <c r="G70" i="28"/>
  <c r="H68" i="27"/>
  <c r="H62" i="26"/>
  <c r="E58" i="28"/>
  <c r="E56" i="27"/>
  <c r="H56" i="27" s="1"/>
  <c r="H55" i="27" s="1"/>
  <c r="H144" i="16"/>
  <c r="E73" i="27"/>
  <c r="E75" i="28"/>
  <c r="E71" i="26"/>
  <c r="H132" i="27"/>
  <c r="G132" i="27"/>
  <c r="E78" i="27"/>
  <c r="E80" i="28"/>
  <c r="E76" i="26"/>
  <c r="H137" i="28"/>
  <c r="G137" i="28"/>
  <c r="E76" i="27"/>
  <c r="E74" i="26"/>
  <c r="E78" i="28"/>
  <c r="E59" i="27"/>
  <c r="E61" i="28"/>
  <c r="E76" i="28"/>
  <c r="E74" i="27"/>
  <c r="E72" i="26"/>
  <c r="G133" i="26"/>
  <c r="H133" i="26"/>
  <c r="H145" i="28"/>
  <c r="G145" i="28"/>
  <c r="G141" i="26"/>
  <c r="H141" i="26"/>
  <c r="E56" i="28" l="1"/>
  <c r="H56" i="28" s="1"/>
  <c r="H55" i="28" s="1"/>
  <c r="G56" i="27"/>
  <c r="H58" i="28"/>
  <c r="H57" i="28" s="1"/>
  <c r="G58" i="28"/>
  <c r="H78" i="27"/>
  <c r="G78" i="27"/>
  <c r="G76" i="28"/>
  <c r="H76" i="28"/>
  <c r="E99" i="28"/>
  <c r="E118" i="27"/>
  <c r="E97" i="27"/>
  <c r="E121" i="28"/>
  <c r="E118" i="26"/>
  <c r="E97" i="26"/>
  <c r="G72" i="26"/>
  <c r="H72" i="26"/>
  <c r="H59" i="27"/>
  <c r="G59" i="27"/>
  <c r="H75" i="28"/>
  <c r="G75" i="28"/>
  <c r="H78" i="28"/>
  <c r="G78" i="28"/>
  <c r="H74" i="26"/>
  <c r="G74" i="26"/>
  <c r="E100" i="28"/>
  <c r="E119" i="27"/>
  <c r="E122" i="28"/>
  <c r="E98" i="27"/>
  <c r="E98" i="26"/>
  <c r="E119" i="26"/>
  <c r="H76" i="26"/>
  <c r="G76" i="26"/>
  <c r="H56" i="26"/>
  <c r="H55" i="26" s="1"/>
  <c r="G56" i="26"/>
  <c r="H61" i="28"/>
  <c r="G61" i="28"/>
  <c r="G71" i="26"/>
  <c r="H71" i="26"/>
  <c r="G73" i="27"/>
  <c r="H73" i="27"/>
  <c r="H76" i="27"/>
  <c r="G76" i="27"/>
  <c r="E123" i="28"/>
  <c r="E99" i="27"/>
  <c r="E120" i="26"/>
  <c r="E99" i="26"/>
  <c r="E120" i="27"/>
  <c r="E101" i="28"/>
  <c r="H74" i="27"/>
  <c r="G74" i="27"/>
  <c r="H80" i="28"/>
  <c r="G80" i="28"/>
  <c r="G56" i="28" l="1"/>
  <c r="E97" i="28"/>
  <c r="E116" i="27"/>
  <c r="E95" i="26"/>
  <c r="E95" i="27"/>
  <c r="E116" i="26"/>
  <c r="E119" i="28"/>
  <c r="H120" i="27"/>
  <c r="G120" i="27"/>
  <c r="G118" i="26"/>
  <c r="H118" i="26"/>
  <c r="G99" i="26"/>
  <c r="H99" i="26"/>
  <c r="G120" i="26"/>
  <c r="H120" i="26"/>
  <c r="G118" i="27"/>
  <c r="H118" i="27"/>
  <c r="H98" i="26"/>
  <c r="G98" i="26"/>
  <c r="G99" i="27"/>
  <c r="H99" i="27"/>
  <c r="G123" i="28"/>
  <c r="H123" i="28"/>
  <c r="E67" i="27"/>
  <c r="E65" i="26"/>
  <c r="E69" i="28"/>
  <c r="E105" i="28"/>
  <c r="E124" i="27"/>
  <c r="E127" i="28"/>
  <c r="E103" i="27"/>
  <c r="E103" i="26"/>
  <c r="E124" i="26"/>
  <c r="G99" i="28"/>
  <c r="H99" i="28"/>
  <c r="E115" i="26"/>
  <c r="E118" i="28"/>
  <c r="E94" i="27"/>
  <c r="E94" i="26"/>
  <c r="E96" i="28"/>
  <c r="E115" i="27"/>
  <c r="H98" i="27"/>
  <c r="G98" i="27"/>
  <c r="G119" i="27"/>
  <c r="H119" i="27"/>
  <c r="G100" i="28"/>
  <c r="H100" i="28"/>
  <c r="H97" i="27"/>
  <c r="G97" i="27"/>
  <c r="E125" i="28"/>
  <c r="E101" i="27"/>
  <c r="E103" i="28"/>
  <c r="E122" i="27"/>
  <c r="E122" i="26"/>
  <c r="E101" i="26"/>
  <c r="E117" i="28"/>
  <c r="E93" i="27"/>
  <c r="E95" i="28"/>
  <c r="E114" i="26"/>
  <c r="E93" i="26"/>
  <c r="E114" i="27"/>
  <c r="G97" i="26"/>
  <c r="H97" i="26"/>
  <c r="H121" i="28"/>
  <c r="G121" i="28"/>
  <c r="E104" i="28"/>
  <c r="E123" i="27"/>
  <c r="E123" i="26"/>
  <c r="E102" i="26"/>
  <c r="E126" i="28"/>
  <c r="E102" i="27"/>
  <c r="E30" i="28"/>
  <c r="E26" i="28"/>
  <c r="E22" i="28"/>
  <c r="E30" i="27"/>
  <c r="E26" i="27"/>
  <c r="E22" i="27"/>
  <c r="E33" i="28"/>
  <c r="E29" i="28"/>
  <c r="E25" i="28"/>
  <c r="E21" i="28"/>
  <c r="E54" i="27" a="1"/>
  <c r="E54" i="27" s="1"/>
  <c r="E51" i="27" a="1"/>
  <c r="E51" i="27" s="1"/>
  <c r="E33" i="27"/>
  <c r="E29" i="27"/>
  <c r="E25" i="27"/>
  <c r="E21" i="27"/>
  <c r="E53" i="26" a="1"/>
  <c r="E53" i="26" s="1"/>
  <c r="E50" i="28"/>
  <c r="E53" i="28" a="1"/>
  <c r="E53" i="28" s="1"/>
  <c r="E32" i="28"/>
  <c r="E28" i="28"/>
  <c r="E24" i="28"/>
  <c r="E20" i="28"/>
  <c r="E50" i="27"/>
  <c r="E53" i="27" a="1"/>
  <c r="E53" i="27" s="1"/>
  <c r="E32" i="27"/>
  <c r="E28" i="27"/>
  <c r="E24" i="27"/>
  <c r="E20" i="27"/>
  <c r="E52" i="26" a="1"/>
  <c r="E52" i="26" s="1"/>
  <c r="E23" i="28"/>
  <c r="E23" i="27"/>
  <c r="E31" i="26"/>
  <c r="E27" i="26"/>
  <c r="E23" i="26"/>
  <c r="E22" i="26"/>
  <c r="E30" i="26"/>
  <c r="E26" i="26"/>
  <c r="E32" i="26"/>
  <c r="E28" i="26"/>
  <c r="E54" i="28" a="1"/>
  <c r="E54" i="28" s="1"/>
  <c r="E31" i="28"/>
  <c r="E31" i="27"/>
  <c r="E52" i="27" a="1"/>
  <c r="E52" i="27" s="1"/>
  <c r="E20" i="26"/>
  <c r="E54" i="26" a="1"/>
  <c r="E54" i="26" s="1"/>
  <c r="E52" i="28" a="1"/>
  <c r="E52" i="28" s="1"/>
  <c r="E51" i="26" a="1"/>
  <c r="E51" i="26" s="1"/>
  <c r="E33" i="26"/>
  <c r="E29" i="26"/>
  <c r="E25" i="26"/>
  <c r="E21" i="26"/>
  <c r="E50" i="26"/>
  <c r="E24" i="26"/>
  <c r="E51" i="28" a="1"/>
  <c r="E51" i="28" s="1"/>
  <c r="E27" i="28"/>
  <c r="E27" i="27"/>
  <c r="H119" i="26"/>
  <c r="G119" i="26"/>
  <c r="H101" i="28"/>
  <c r="G101" i="28"/>
  <c r="H122" i="28"/>
  <c r="G122" i="28"/>
  <c r="H98" i="28" l="1"/>
  <c r="H117" i="26"/>
  <c r="H16" i="27"/>
  <c r="G29" i="27"/>
  <c r="H29" i="27"/>
  <c r="G33" i="27"/>
  <c r="H33" i="27"/>
  <c r="G122" i="26"/>
  <c r="H122" i="26"/>
  <c r="H23" i="26"/>
  <c r="G23" i="26"/>
  <c r="E34" i="28"/>
  <c r="E34" i="27"/>
  <c r="E34" i="26"/>
  <c r="H93" i="26"/>
  <c r="G93" i="26"/>
  <c r="E134" i="26"/>
  <c r="H122" i="27"/>
  <c r="G122" i="27"/>
  <c r="H54" i="27"/>
  <c r="G54" i="27"/>
  <c r="H102" i="27"/>
  <c r="G102" i="27"/>
  <c r="H114" i="26"/>
  <c r="G114" i="26"/>
  <c r="E142" i="26"/>
  <c r="H103" i="28"/>
  <c r="G103" i="28"/>
  <c r="G103" i="26"/>
  <c r="H103" i="26"/>
  <c r="H27" i="27"/>
  <c r="G27" i="27"/>
  <c r="H20" i="26"/>
  <c r="G20" i="26"/>
  <c r="H31" i="26"/>
  <c r="G31" i="26"/>
  <c r="H24" i="28"/>
  <c r="G24" i="28"/>
  <c r="H21" i="28"/>
  <c r="G21" i="28"/>
  <c r="H126" i="28"/>
  <c r="G126" i="28"/>
  <c r="H95" i="28"/>
  <c r="G95" i="28"/>
  <c r="E138" i="28"/>
  <c r="H101" i="27"/>
  <c r="G101" i="27"/>
  <c r="H16" i="28"/>
  <c r="H103" i="27"/>
  <c r="G103" i="27"/>
  <c r="H33" i="26"/>
  <c r="G33" i="26"/>
  <c r="H52" i="28"/>
  <c r="G52" i="28"/>
  <c r="H50" i="27"/>
  <c r="G50" i="27"/>
  <c r="G124" i="26"/>
  <c r="H124" i="26"/>
  <c r="H27" i="26"/>
  <c r="G27" i="26"/>
  <c r="H27" i="28"/>
  <c r="G27" i="28"/>
  <c r="H52" i="27"/>
  <c r="G52" i="27"/>
  <c r="H23" i="27"/>
  <c r="G23" i="27"/>
  <c r="H28" i="28"/>
  <c r="G28" i="28"/>
  <c r="H25" i="28"/>
  <c r="G25" i="28"/>
  <c r="H102" i="26"/>
  <c r="G102" i="26"/>
  <c r="H93" i="27"/>
  <c r="G93" i="27"/>
  <c r="E133" i="27"/>
  <c r="H125" i="28"/>
  <c r="G125" i="28"/>
  <c r="H127" i="28"/>
  <c r="G127" i="28"/>
  <c r="H30" i="26"/>
  <c r="G30" i="26"/>
  <c r="H22" i="26"/>
  <c r="G22" i="26"/>
  <c r="H51" i="27"/>
  <c r="G51" i="27"/>
  <c r="H54" i="26"/>
  <c r="G54" i="26"/>
  <c r="H20" i="28"/>
  <c r="G20" i="28"/>
  <c r="G51" i="28"/>
  <c r="H51" i="28"/>
  <c r="H31" i="27"/>
  <c r="G31" i="27"/>
  <c r="H23" i="28"/>
  <c r="G23" i="28"/>
  <c r="H32" i="28"/>
  <c r="G32" i="28"/>
  <c r="H29" i="28"/>
  <c r="G29" i="28"/>
  <c r="G123" i="26"/>
  <c r="H123" i="26"/>
  <c r="H117" i="28"/>
  <c r="G117" i="28"/>
  <c r="E146" i="28"/>
  <c r="H115" i="27"/>
  <c r="G115" i="27"/>
  <c r="H124" i="27"/>
  <c r="G124" i="27"/>
  <c r="H117" i="27"/>
  <c r="H119" i="28"/>
  <c r="G119" i="28"/>
  <c r="H53" i="27"/>
  <c r="G53" i="27"/>
  <c r="H16" i="26"/>
  <c r="G24" i="26"/>
  <c r="H24" i="26"/>
  <c r="H31" i="28"/>
  <c r="G31" i="28"/>
  <c r="G52" i="26"/>
  <c r="H52" i="26"/>
  <c r="H53" i="28"/>
  <c r="G53" i="28"/>
  <c r="H33" i="28"/>
  <c r="G33" i="28"/>
  <c r="H123" i="27"/>
  <c r="G123" i="27"/>
  <c r="G96" i="28"/>
  <c r="H96" i="28"/>
  <c r="H105" i="28"/>
  <c r="G105" i="28"/>
  <c r="H116" i="26"/>
  <c r="G116" i="26"/>
  <c r="H51" i="26"/>
  <c r="G51" i="26"/>
  <c r="H114" i="27"/>
  <c r="G114" i="27"/>
  <c r="E141" i="27"/>
  <c r="G50" i="26"/>
  <c r="H50" i="26"/>
  <c r="G54" i="28"/>
  <c r="H54" i="28"/>
  <c r="E60" i="27"/>
  <c r="E62" i="28"/>
  <c r="E58" i="26"/>
  <c r="H50" i="28"/>
  <c r="G50" i="28"/>
  <c r="G22" i="27"/>
  <c r="H22" i="27"/>
  <c r="H104" i="28"/>
  <c r="G104" i="28"/>
  <c r="H94" i="26"/>
  <c r="G94" i="26"/>
  <c r="G69" i="28"/>
  <c r="H69" i="28"/>
  <c r="H95" i="27"/>
  <c r="G95" i="27"/>
  <c r="H32" i="27"/>
  <c r="G32" i="27"/>
  <c r="H21" i="26"/>
  <c r="G21" i="26"/>
  <c r="H20" i="27"/>
  <c r="G20" i="27"/>
  <c r="G53" i="26"/>
  <c r="H53" i="26"/>
  <c r="G26" i="27"/>
  <c r="H26" i="27"/>
  <c r="E63" i="28"/>
  <c r="E59" i="26"/>
  <c r="E61" i="27"/>
  <c r="H96" i="27"/>
  <c r="H94" i="27"/>
  <c r="G94" i="27"/>
  <c r="H65" i="26"/>
  <c r="G65" i="26"/>
  <c r="H95" i="26"/>
  <c r="G95" i="26"/>
  <c r="H26" i="28"/>
  <c r="G26" i="28"/>
  <c r="H30" i="28"/>
  <c r="G30" i="28"/>
  <c r="H32" i="26"/>
  <c r="G32" i="26"/>
  <c r="H24" i="27"/>
  <c r="G24" i="27"/>
  <c r="G21" i="27"/>
  <c r="H21" i="27"/>
  <c r="G30" i="27"/>
  <c r="H30" i="27"/>
  <c r="H120" i="28"/>
  <c r="E67" i="28"/>
  <c r="E65" i="27"/>
  <c r="E63" i="26"/>
  <c r="H118" i="28"/>
  <c r="G118" i="28"/>
  <c r="H67" i="27"/>
  <c r="G67" i="27"/>
  <c r="H116" i="27"/>
  <c r="G116" i="27"/>
  <c r="G101" i="26"/>
  <c r="H101" i="26"/>
  <c r="H28" i="26"/>
  <c r="G28" i="26"/>
  <c r="H25" i="26"/>
  <c r="G25" i="26"/>
  <c r="H29" i="26"/>
  <c r="G29" i="26"/>
  <c r="H26" i="26"/>
  <c r="G26" i="26"/>
  <c r="H28" i="27"/>
  <c r="G28" i="27"/>
  <c r="G25" i="27"/>
  <c r="H25" i="27"/>
  <c r="H22" i="28"/>
  <c r="G22" i="28"/>
  <c r="H96" i="26"/>
  <c r="E66" i="27"/>
  <c r="E68" i="28"/>
  <c r="E64" i="26"/>
  <c r="G115" i="26"/>
  <c r="H115" i="26"/>
  <c r="H97" i="28"/>
  <c r="G97" i="28"/>
  <c r="H47" i="27" l="1"/>
  <c r="H116" i="28"/>
  <c r="H113" i="27"/>
  <c r="H94" i="28"/>
  <c r="G125" i="27"/>
  <c r="H64" i="26"/>
  <c r="G64" i="26"/>
  <c r="H66" i="27"/>
  <c r="G66" i="27"/>
  <c r="H133" i="27"/>
  <c r="G133" i="27"/>
  <c r="G134" i="27" s="1"/>
  <c r="H63" i="28"/>
  <c r="G63" i="28"/>
  <c r="G104" i="27"/>
  <c r="H113" i="26"/>
  <c r="H100" i="26"/>
  <c r="H134" i="26"/>
  <c r="G134" i="26"/>
  <c r="G135" i="26" s="1"/>
  <c r="H68" i="28"/>
  <c r="G68" i="28"/>
  <c r="H61" i="27"/>
  <c r="G61" i="27"/>
  <c r="H124" i="28"/>
  <c r="G104" i="26"/>
  <c r="H59" i="26"/>
  <c r="G59" i="26"/>
  <c r="H92" i="26"/>
  <c r="H58" i="26"/>
  <c r="G58" i="26"/>
  <c r="H34" i="26"/>
  <c r="H19" i="26" s="1"/>
  <c r="G34" i="26"/>
  <c r="H67" i="28"/>
  <c r="G67" i="28"/>
  <c r="H62" i="28"/>
  <c r="G62" i="28"/>
  <c r="H34" i="28"/>
  <c r="H19" i="28" s="1"/>
  <c r="G34" i="28"/>
  <c r="H100" i="27"/>
  <c r="H121" i="27"/>
  <c r="H47" i="28"/>
  <c r="G65" i="27"/>
  <c r="H65" i="27"/>
  <c r="G34" i="27"/>
  <c r="H34" i="27"/>
  <c r="H19" i="27" s="1"/>
  <c r="H47" i="26"/>
  <c r="H146" i="28"/>
  <c r="G146" i="28"/>
  <c r="G147" i="28" s="1"/>
  <c r="H138" i="28"/>
  <c r="G138" i="28"/>
  <c r="G139" i="28" s="1"/>
  <c r="H121" i="26"/>
  <c r="H63" i="26"/>
  <c r="G63" i="26"/>
  <c r="H102" i="28"/>
  <c r="H142" i="26"/>
  <c r="G142" i="26"/>
  <c r="G143" i="26" s="1"/>
  <c r="H92" i="27"/>
  <c r="G125" i="26"/>
  <c r="G60" i="27"/>
  <c r="H60" i="27"/>
  <c r="G128" i="28"/>
  <c r="G106" i="28"/>
  <c r="H141" i="27"/>
  <c r="G141" i="27"/>
  <c r="G142" i="27" s="1"/>
  <c r="H64" i="28" l="1"/>
  <c r="G81" i="28"/>
  <c r="G82" i="28" s="1"/>
  <c r="G79" i="27"/>
  <c r="G80" i="27" s="1"/>
  <c r="G77" i="26"/>
  <c r="H77" i="26" s="1"/>
  <c r="H62" i="27"/>
  <c r="H60" i="26"/>
  <c r="H111" i="26"/>
  <c r="H110" i="26"/>
  <c r="G126" i="26"/>
  <c r="H109" i="26"/>
  <c r="H112" i="26"/>
  <c r="H108" i="26"/>
  <c r="H107" i="26"/>
  <c r="H125" i="26"/>
  <c r="H89" i="27"/>
  <c r="G105" i="27"/>
  <c r="H88" i="27"/>
  <c r="H91" i="27"/>
  <c r="H104" i="27"/>
  <c r="H87" i="27"/>
  <c r="H90" i="27"/>
  <c r="H140" i="26"/>
  <c r="H138" i="26"/>
  <c r="H143" i="26"/>
  <c r="H139" i="26"/>
  <c r="H139" i="27"/>
  <c r="H138" i="27"/>
  <c r="H136" i="27" s="1"/>
  <c r="H142" i="27"/>
  <c r="H137" i="27"/>
  <c r="H136" i="28"/>
  <c r="H135" i="28"/>
  <c r="H139" i="28"/>
  <c r="H88" i="26"/>
  <c r="H104" i="26"/>
  <c r="H91" i="26"/>
  <c r="H90" i="26"/>
  <c r="H89" i="26"/>
  <c r="G105" i="26"/>
  <c r="H87" i="26"/>
  <c r="H112" i="27"/>
  <c r="H111" i="27"/>
  <c r="H110" i="27"/>
  <c r="G126" i="27"/>
  <c r="H109" i="27"/>
  <c r="H125" i="27"/>
  <c r="H108" i="27"/>
  <c r="H107" i="27"/>
  <c r="H131" i="27"/>
  <c r="H134" i="27"/>
  <c r="H130" i="27"/>
  <c r="H93" i="28"/>
  <c r="H92" i="28"/>
  <c r="H91" i="28"/>
  <c r="G107" i="28"/>
  <c r="H90" i="28"/>
  <c r="H106" i="28"/>
  <c r="H89" i="28"/>
  <c r="H144" i="28"/>
  <c r="H143" i="28"/>
  <c r="H142" i="28"/>
  <c r="H147" i="28"/>
  <c r="H113" i="28"/>
  <c r="G129" i="28"/>
  <c r="H112" i="28"/>
  <c r="H110" i="28"/>
  <c r="H115" i="28"/>
  <c r="H114" i="28"/>
  <c r="H128" i="28"/>
  <c r="H111" i="28"/>
  <c r="H135" i="26"/>
  <c r="H132" i="26"/>
  <c r="H131" i="26"/>
  <c r="H81" i="28" l="1"/>
  <c r="H79" i="27"/>
  <c r="G78" i="26"/>
  <c r="G79" i="26" s="1"/>
  <c r="H79" i="26" s="1"/>
  <c r="H82" i="28"/>
  <c r="G83" i="28"/>
  <c r="H83" i="28" s="1"/>
  <c r="G127" i="26"/>
  <c r="H127" i="26" s="1"/>
  <c r="H126" i="26"/>
  <c r="H129" i="26"/>
  <c r="H136" i="26"/>
  <c r="H105" i="27"/>
  <c r="G106" i="27"/>
  <c r="H106" i="27" s="1"/>
  <c r="H129" i="27"/>
  <c r="H135" i="27"/>
  <c r="G81" i="27"/>
  <c r="H81" i="27" s="1"/>
  <c r="H80" i="27"/>
  <c r="G127" i="27"/>
  <c r="H127" i="27" s="1"/>
  <c r="H126" i="27"/>
  <c r="H133" i="28"/>
  <c r="H140" i="28"/>
  <c r="G108" i="28"/>
  <c r="H108" i="28" s="1"/>
  <c r="H107" i="28"/>
  <c r="G106" i="26"/>
  <c r="H106" i="26" s="1"/>
  <c r="H105" i="26"/>
  <c r="H129" i="28"/>
  <c r="G130" i="28"/>
  <c r="H130" i="28" s="1"/>
  <c r="H86" i="28" l="1"/>
  <c r="H85" i="26"/>
  <c r="H86" i="27"/>
  <c r="H78" i="26"/>
  <c r="G80" i="16" l="1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8" i="16"/>
  <c r="G99" i="16"/>
  <c r="G100" i="16"/>
  <c r="G101" i="16"/>
  <c r="G102" i="16"/>
  <c r="G103" i="16"/>
  <c r="G104" i="16"/>
  <c r="G105" i="16"/>
  <c r="G106" i="16"/>
  <c r="G107" i="16"/>
  <c r="G108" i="16"/>
  <c r="G109" i="16"/>
  <c r="G110" i="16"/>
  <c r="G111" i="16"/>
  <c r="H101" i="16"/>
  <c r="H100" i="16"/>
  <c r="H99" i="16"/>
  <c r="H98" i="16"/>
  <c r="H97" i="16"/>
  <c r="H96" i="16"/>
  <c r="H95" i="16"/>
  <c r="H23" i="16"/>
  <c r="G23" i="16"/>
  <c r="H111" i="16"/>
  <c r="H110" i="16"/>
  <c r="H109" i="16"/>
  <c r="H108" i="16"/>
  <c r="H107" i="16"/>
  <c r="H106" i="16"/>
  <c r="H105" i="16"/>
  <c r="H104" i="16"/>
  <c r="H103" i="16"/>
  <c r="H102" i="16"/>
  <c r="G112" i="16"/>
  <c r="H112" i="16"/>
  <c r="E49" i="24" a="1"/>
  <c r="E49" i="24" s="1"/>
  <c r="E48" i="24" a="1"/>
  <c r="E48" i="24" s="1"/>
  <c r="E47" i="24" a="1"/>
  <c r="E47" i="24" s="1"/>
  <c r="E46" i="24" a="1"/>
  <c r="E46" i="24" s="1"/>
  <c r="E45" i="24"/>
  <c r="H45" i="24" s="1"/>
  <c r="H44" i="24"/>
  <c r="G44" i="24"/>
  <c r="H43" i="24"/>
  <c r="G43" i="24"/>
  <c r="H53" i="24"/>
  <c r="G53" i="24"/>
  <c r="H52" i="24"/>
  <c r="G52" i="24"/>
  <c r="H51" i="24"/>
  <c r="G51" i="24"/>
  <c r="E55" i="7" a="1"/>
  <c r="E55" i="7" s="1"/>
  <c r="E54" i="7" a="1"/>
  <c r="E54" i="7" s="1"/>
  <c r="E53" i="7" a="1"/>
  <c r="E53" i="7" s="1"/>
  <c r="E52" i="7" a="1"/>
  <c r="E52" i="7" s="1"/>
  <c r="E51" i="7"/>
  <c r="G51" i="7" s="1"/>
  <c r="H50" i="7"/>
  <c r="G50" i="7"/>
  <c r="H49" i="7"/>
  <c r="G49" i="7"/>
  <c r="E52" i="23"/>
  <c r="H52" i="23" s="1"/>
  <c r="E61" i="6"/>
  <c r="H61" i="6" s="1"/>
  <c r="G45" i="24" l="1"/>
  <c r="H49" i="24"/>
  <c r="G49" i="24"/>
  <c r="H48" i="24"/>
  <c r="G48" i="24"/>
  <c r="H46" i="24"/>
  <c r="G46" i="24"/>
  <c r="H47" i="24"/>
  <c r="G47" i="24"/>
  <c r="H51" i="7"/>
  <c r="H53" i="7"/>
  <c r="G53" i="7"/>
  <c r="H54" i="7"/>
  <c r="G54" i="7"/>
  <c r="H55" i="7"/>
  <c r="G55" i="7"/>
  <c r="H52" i="7"/>
  <c r="G52" i="7"/>
  <c r="G52" i="23"/>
  <c r="G61" i="6"/>
  <c r="H225" i="16" l="1"/>
  <c r="G225" i="16"/>
  <c r="H224" i="16"/>
  <c r="G224" i="16"/>
  <c r="H223" i="16"/>
  <c r="G223" i="16"/>
  <c r="H221" i="16"/>
  <c r="G221" i="16"/>
  <c r="H220" i="16"/>
  <c r="G220" i="16"/>
  <c r="H219" i="16"/>
  <c r="G219" i="16"/>
  <c r="H217" i="16"/>
  <c r="G217" i="16"/>
  <c r="H216" i="16"/>
  <c r="G216" i="16"/>
  <c r="H215" i="16"/>
  <c r="G215" i="16"/>
  <c r="H203" i="16"/>
  <c r="G203" i="16"/>
  <c r="H202" i="16"/>
  <c r="G202" i="16"/>
  <c r="H201" i="16"/>
  <c r="G201" i="16"/>
  <c r="H199" i="16"/>
  <c r="G199" i="16"/>
  <c r="H198" i="16"/>
  <c r="G198" i="16"/>
  <c r="H197" i="16"/>
  <c r="G197" i="16"/>
  <c r="H195" i="16"/>
  <c r="G195" i="16"/>
  <c r="H194" i="16"/>
  <c r="G194" i="16"/>
  <c r="H193" i="16"/>
  <c r="G193" i="16"/>
  <c r="H185" i="16"/>
  <c r="H94" i="16"/>
  <c r="H93" i="16"/>
  <c r="H92" i="16"/>
  <c r="H91" i="16"/>
  <c r="H90" i="16"/>
  <c r="H89" i="16"/>
  <c r="H88" i="16"/>
  <c r="H87" i="16"/>
  <c r="H86" i="16"/>
  <c r="H85" i="16"/>
  <c r="H84" i="16"/>
  <c r="H83" i="16"/>
  <c r="H82" i="16"/>
  <c r="H81" i="16"/>
  <c r="H80" i="16"/>
  <c r="H79" i="16"/>
  <c r="G79" i="16"/>
  <c r="H78" i="16"/>
  <c r="G78" i="16"/>
  <c r="H77" i="16"/>
  <c r="G77" i="16"/>
  <c r="H76" i="16"/>
  <c r="G76" i="16"/>
  <c r="H75" i="16"/>
  <c r="G75" i="16"/>
  <c r="H74" i="16"/>
  <c r="G74" i="16"/>
  <c r="H73" i="16"/>
  <c r="G73" i="16"/>
  <c r="H72" i="16"/>
  <c r="G72" i="16"/>
  <c r="H71" i="16"/>
  <c r="G71" i="16"/>
  <c r="H70" i="16"/>
  <c r="G70" i="16"/>
  <c r="H69" i="16"/>
  <c r="G69" i="16"/>
  <c r="H68" i="16"/>
  <c r="G68" i="16"/>
  <c r="H67" i="16"/>
  <c r="G67" i="16"/>
  <c r="H66" i="16"/>
  <c r="G66" i="16"/>
  <c r="H65" i="16"/>
  <c r="G65" i="16"/>
  <c r="H64" i="16"/>
  <c r="G64" i="16"/>
  <c r="H63" i="16"/>
  <c r="G63" i="16"/>
  <c r="H62" i="16"/>
  <c r="G62" i="16"/>
  <c r="H61" i="16"/>
  <c r="G61" i="16"/>
  <c r="H60" i="16"/>
  <c r="G60" i="16"/>
  <c r="H59" i="16"/>
  <c r="G59" i="16"/>
  <c r="H58" i="16"/>
  <c r="G58" i="16"/>
  <c r="H57" i="16"/>
  <c r="G57" i="16"/>
  <c r="H56" i="16"/>
  <c r="G56" i="16"/>
  <c r="H55" i="16"/>
  <c r="G55" i="16"/>
  <c r="H54" i="16"/>
  <c r="G54" i="16"/>
  <c r="H53" i="16"/>
  <c r="G53" i="16"/>
  <c r="H52" i="16"/>
  <c r="G52" i="16"/>
  <c r="H51" i="16"/>
  <c r="G51" i="16"/>
  <c r="H49" i="16"/>
  <c r="H48" i="16" s="1"/>
  <c r="G49" i="16"/>
  <c r="H47" i="16"/>
  <c r="G47" i="16"/>
  <c r="H46" i="16"/>
  <c r="G46" i="16"/>
  <c r="H45" i="16"/>
  <c r="G45" i="16"/>
  <c r="H44" i="16"/>
  <c r="G44" i="16"/>
  <c r="H42" i="16"/>
  <c r="G42" i="16"/>
  <c r="H41" i="16"/>
  <c r="G41" i="16"/>
  <c r="H40" i="16"/>
  <c r="H39" i="16" s="1"/>
  <c r="G40" i="16"/>
  <c r="H38" i="16"/>
  <c r="G38" i="16"/>
  <c r="H37" i="16"/>
  <c r="G37" i="16"/>
  <c r="H36" i="16"/>
  <c r="G36" i="16"/>
  <c r="H35" i="16"/>
  <c r="G35" i="16"/>
  <c r="H34" i="16"/>
  <c r="G34" i="16"/>
  <c r="H33" i="16"/>
  <c r="G33" i="16"/>
  <c r="H32" i="16"/>
  <c r="G32" i="16"/>
  <c r="H30" i="16"/>
  <c r="G30" i="16"/>
  <c r="H29" i="16"/>
  <c r="G29" i="16"/>
  <c r="H28" i="16"/>
  <c r="G28" i="16"/>
  <c r="H26" i="16"/>
  <c r="G26" i="16"/>
  <c r="H25" i="16"/>
  <c r="H24" i="16" s="1"/>
  <c r="G25" i="16"/>
  <c r="H22" i="16"/>
  <c r="H21" i="16" s="1"/>
  <c r="G22" i="16"/>
  <c r="AF24" i="25"/>
  <c r="AD24" i="25"/>
  <c r="Z24" i="25"/>
  <c r="AG22" i="25"/>
  <c r="AF22" i="25"/>
  <c r="AD22" i="25"/>
  <c r="Y22" i="25"/>
  <c r="AA20" i="25"/>
  <c r="Z20" i="25"/>
  <c r="Y20" i="25"/>
  <c r="X20" i="25"/>
  <c r="M20" i="25"/>
  <c r="S22" i="25" s="1"/>
  <c r="O24" i="25" s="1"/>
  <c r="B20" i="25"/>
  <c r="H22" i="25" s="1"/>
  <c r="D24" i="25" s="1"/>
  <c r="AA19" i="25"/>
  <c r="Z19" i="25"/>
  <c r="Y19" i="25"/>
  <c r="N19" i="25"/>
  <c r="O19" i="25" s="1"/>
  <c r="P19" i="25" s="1"/>
  <c r="E19" i="25"/>
  <c r="D19" i="25"/>
  <c r="C19" i="25"/>
  <c r="AA18" i="25"/>
  <c r="Z18" i="25"/>
  <c r="Y18" i="25"/>
  <c r="N18" i="25"/>
  <c r="O18" i="25" s="1"/>
  <c r="P18" i="25" s="1"/>
  <c r="C18" i="25"/>
  <c r="D18" i="25" s="1"/>
  <c r="E18" i="25" s="1"/>
  <c r="AA17" i="25"/>
  <c r="Z17" i="25"/>
  <c r="Y17" i="25"/>
  <c r="N17" i="25"/>
  <c r="O17" i="25" s="1"/>
  <c r="P17" i="25" s="1"/>
  <c r="C17" i="25"/>
  <c r="D17" i="25" s="1"/>
  <c r="E17" i="25" s="1"/>
  <c r="AA16" i="25"/>
  <c r="Z16" i="25"/>
  <c r="Y16" i="25"/>
  <c r="N16" i="25"/>
  <c r="O16" i="25" s="1"/>
  <c r="P16" i="25" s="1"/>
  <c r="C16" i="25"/>
  <c r="D16" i="25" s="1"/>
  <c r="E16" i="25" s="1"/>
  <c r="AA15" i="25"/>
  <c r="Z15" i="25"/>
  <c r="Y15" i="25"/>
  <c r="N15" i="25"/>
  <c r="O15" i="25" s="1"/>
  <c r="P15" i="25" s="1"/>
  <c r="C15" i="25"/>
  <c r="D15" i="25" s="1"/>
  <c r="E15" i="25" s="1"/>
  <c r="AA14" i="25"/>
  <c r="Z14" i="25"/>
  <c r="Y14" i="25"/>
  <c r="N14" i="25"/>
  <c r="O14" i="25" s="1"/>
  <c r="P14" i="25" s="1"/>
  <c r="C14" i="25"/>
  <c r="D14" i="25" s="1"/>
  <c r="E14" i="25" s="1"/>
  <c r="AA13" i="25"/>
  <c r="Z13" i="25"/>
  <c r="Y13" i="25"/>
  <c r="N13" i="25"/>
  <c r="O13" i="25" s="1"/>
  <c r="P13" i="25" s="1"/>
  <c r="C13" i="25"/>
  <c r="D13" i="25" s="1"/>
  <c r="E13" i="25" s="1"/>
  <c r="AA12" i="25"/>
  <c r="Z12" i="25"/>
  <c r="Y12" i="25"/>
  <c r="N12" i="25"/>
  <c r="O12" i="25" s="1"/>
  <c r="P12" i="25" s="1"/>
  <c r="C12" i="25"/>
  <c r="D12" i="25" s="1"/>
  <c r="E12" i="25" s="1"/>
  <c r="AA11" i="25"/>
  <c r="Z11" i="25"/>
  <c r="Y11" i="25"/>
  <c r="O11" i="25"/>
  <c r="P11" i="25" s="1"/>
  <c r="N11" i="25"/>
  <c r="C11" i="25"/>
  <c r="D11" i="25" s="1"/>
  <c r="E11" i="25" s="1"/>
  <c r="AA10" i="25"/>
  <c r="Z10" i="25"/>
  <c r="Y10" i="25"/>
  <c r="O10" i="25"/>
  <c r="P10" i="25" s="1"/>
  <c r="N10" i="25"/>
  <c r="C10" i="25"/>
  <c r="AA9" i="25"/>
  <c r="Z9" i="25"/>
  <c r="Y9" i="25"/>
  <c r="N9" i="25"/>
  <c r="O9" i="25" s="1"/>
  <c r="P9" i="25" s="1"/>
  <c r="C9" i="25"/>
  <c r="AA8" i="25"/>
  <c r="Z8" i="25"/>
  <c r="Y8" i="25"/>
  <c r="N8" i="25"/>
  <c r="O8" i="25" s="1"/>
  <c r="P8" i="25" s="1"/>
  <c r="C8" i="25"/>
  <c r="D8" i="25" s="1"/>
  <c r="E8" i="25" s="1"/>
  <c r="AA7" i="25"/>
  <c r="Z7" i="25"/>
  <c r="Y7" i="25"/>
  <c r="O7" i="25"/>
  <c r="P7" i="25" s="1"/>
  <c r="N7" i="25"/>
  <c r="C7" i="25"/>
  <c r="D7" i="25" s="1"/>
  <c r="E7" i="25" s="1"/>
  <c r="AA6" i="25"/>
  <c r="Z6" i="25"/>
  <c r="Y6" i="25"/>
  <c r="N6" i="25"/>
  <c r="O6" i="25" s="1"/>
  <c r="P6" i="25" s="1"/>
  <c r="C6" i="25"/>
  <c r="D6" i="25" s="1"/>
  <c r="E6" i="25" s="1"/>
  <c r="AA5" i="25"/>
  <c r="Z5" i="25"/>
  <c r="Y5" i="25"/>
  <c r="N5" i="25"/>
  <c r="O5" i="25" s="1"/>
  <c r="P5" i="25" s="1"/>
  <c r="C5" i="25"/>
  <c r="D5" i="25" s="1"/>
  <c r="E5" i="25" s="1"/>
  <c r="AA4" i="25"/>
  <c r="Z4" i="25"/>
  <c r="Y4" i="25"/>
  <c r="N4" i="25"/>
  <c r="O4" i="25" s="1"/>
  <c r="C4" i="25"/>
  <c r="E102" i="24"/>
  <c r="H102" i="24" s="1"/>
  <c r="E101" i="24"/>
  <c r="H101" i="24" s="1"/>
  <c r="E100" i="24"/>
  <c r="H100" i="24" s="1"/>
  <c r="E80" i="24"/>
  <c r="H80" i="24" s="1"/>
  <c r="E79" i="24"/>
  <c r="H79" i="24" s="1"/>
  <c r="E78" i="24"/>
  <c r="H78" i="24" s="1"/>
  <c r="AF24" i="21"/>
  <c r="AD24" i="21"/>
  <c r="Z24" i="21"/>
  <c r="W24" i="21"/>
  <c r="U24" i="21"/>
  <c r="S24" i="21"/>
  <c r="O24" i="21"/>
  <c r="L24" i="21"/>
  <c r="J24" i="21"/>
  <c r="I24" i="21"/>
  <c r="H24" i="21"/>
  <c r="G24" i="21"/>
  <c r="F24" i="21"/>
  <c r="E24" i="21"/>
  <c r="D24" i="21"/>
  <c r="C24" i="21"/>
  <c r="A24" i="21"/>
  <c r="AG22" i="21"/>
  <c r="AF22" i="21"/>
  <c r="AD22" i="21"/>
  <c r="Y22" i="21"/>
  <c r="V22" i="21"/>
  <c r="U22" i="21"/>
  <c r="S22" i="21"/>
  <c r="N22" i="21"/>
  <c r="K22" i="21"/>
  <c r="J22" i="21"/>
  <c r="H22" i="21"/>
  <c r="F22" i="21"/>
  <c r="C22" i="21"/>
  <c r="AA20" i="21"/>
  <c r="Z20" i="21"/>
  <c r="Y20" i="21"/>
  <c r="X20" i="21"/>
  <c r="P20" i="21"/>
  <c r="O20" i="21"/>
  <c r="N20" i="21"/>
  <c r="M20" i="21"/>
  <c r="E20" i="21"/>
  <c r="D20" i="21"/>
  <c r="C20" i="21"/>
  <c r="B20" i="21"/>
  <c r="AA19" i="21"/>
  <c r="Z19" i="21"/>
  <c r="Y19" i="21"/>
  <c r="P19" i="21"/>
  <c r="O19" i="21"/>
  <c r="N19" i="21"/>
  <c r="E19" i="21"/>
  <c r="D19" i="21"/>
  <c r="C19" i="21"/>
  <c r="AA18" i="21"/>
  <c r="Z18" i="21"/>
  <c r="Y18" i="21"/>
  <c r="P18" i="21"/>
  <c r="O18" i="21"/>
  <c r="N18" i="21"/>
  <c r="E18" i="21"/>
  <c r="D18" i="21"/>
  <c r="C18" i="21"/>
  <c r="AA17" i="21"/>
  <c r="Z17" i="21"/>
  <c r="Y17" i="21"/>
  <c r="P17" i="21"/>
  <c r="O17" i="21"/>
  <c r="N17" i="21"/>
  <c r="E17" i="21"/>
  <c r="D17" i="21"/>
  <c r="C17" i="21"/>
  <c r="AA16" i="21"/>
  <c r="Z16" i="21"/>
  <c r="Y16" i="21"/>
  <c r="P16" i="21"/>
  <c r="O16" i="21"/>
  <c r="N16" i="21"/>
  <c r="E16" i="21"/>
  <c r="D16" i="21"/>
  <c r="C16" i="21"/>
  <c r="AA15" i="21"/>
  <c r="Z15" i="21"/>
  <c r="Y15" i="21"/>
  <c r="P15" i="21"/>
  <c r="O15" i="21"/>
  <c r="N15" i="21"/>
  <c r="E15" i="21"/>
  <c r="D15" i="21"/>
  <c r="C15" i="21"/>
  <c r="AA14" i="21"/>
  <c r="Z14" i="21"/>
  <c r="Y14" i="21"/>
  <c r="P14" i="21"/>
  <c r="O14" i="21"/>
  <c r="N14" i="21"/>
  <c r="E14" i="21"/>
  <c r="D14" i="21"/>
  <c r="C14" i="21"/>
  <c r="AA13" i="21"/>
  <c r="Z13" i="21"/>
  <c r="Y13" i="21"/>
  <c r="P13" i="21"/>
  <c r="O13" i="21"/>
  <c r="N13" i="21"/>
  <c r="E13" i="21"/>
  <c r="D13" i="21"/>
  <c r="C13" i="21"/>
  <c r="AA12" i="21"/>
  <c r="Z12" i="21"/>
  <c r="Y12" i="21"/>
  <c r="P12" i="21"/>
  <c r="O12" i="21"/>
  <c r="N12" i="21"/>
  <c r="E12" i="21"/>
  <c r="D12" i="21"/>
  <c r="C12" i="21"/>
  <c r="AA11" i="21"/>
  <c r="Z11" i="21"/>
  <c r="Y11" i="21"/>
  <c r="P11" i="21"/>
  <c r="O11" i="21"/>
  <c r="N11" i="21"/>
  <c r="E11" i="21"/>
  <c r="D11" i="21"/>
  <c r="C11" i="21"/>
  <c r="AA10" i="21"/>
  <c r="Z10" i="21"/>
  <c r="Y10" i="21"/>
  <c r="P10" i="21"/>
  <c r="O10" i="21"/>
  <c r="N10" i="21"/>
  <c r="E10" i="21"/>
  <c r="D10" i="21"/>
  <c r="C10" i="21"/>
  <c r="AA9" i="21"/>
  <c r="Z9" i="21"/>
  <c r="Y9" i="21"/>
  <c r="P9" i="21"/>
  <c r="O9" i="21"/>
  <c r="N9" i="21"/>
  <c r="E9" i="21"/>
  <c r="D9" i="21"/>
  <c r="C9" i="21"/>
  <c r="AA8" i="21"/>
  <c r="Z8" i="21"/>
  <c r="Y8" i="21"/>
  <c r="P8" i="21"/>
  <c r="O8" i="21"/>
  <c r="N8" i="21"/>
  <c r="E8" i="21"/>
  <c r="D8" i="21"/>
  <c r="C8" i="21"/>
  <c r="AA7" i="21"/>
  <c r="Z7" i="21"/>
  <c r="Y7" i="21"/>
  <c r="P7" i="21"/>
  <c r="O7" i="21"/>
  <c r="N7" i="21"/>
  <c r="E7" i="21"/>
  <c r="D7" i="21"/>
  <c r="C7" i="21"/>
  <c r="AA6" i="21"/>
  <c r="Z6" i="21"/>
  <c r="Y6" i="21"/>
  <c r="P6" i="21"/>
  <c r="O6" i="21"/>
  <c r="N6" i="21"/>
  <c r="E6" i="21"/>
  <c r="D6" i="21"/>
  <c r="C6" i="21"/>
  <c r="AA5" i="21"/>
  <c r="Z5" i="21"/>
  <c r="Y5" i="21"/>
  <c r="P5" i="21"/>
  <c r="O5" i="21"/>
  <c r="N5" i="21"/>
  <c r="E5" i="21"/>
  <c r="D5" i="21"/>
  <c r="C5" i="21"/>
  <c r="AA4" i="21"/>
  <c r="Z4" i="21"/>
  <c r="Y4" i="21"/>
  <c r="P4" i="21"/>
  <c r="O4" i="21"/>
  <c r="N4" i="21"/>
  <c r="E4" i="21"/>
  <c r="D4" i="21"/>
  <c r="C4" i="21"/>
  <c r="H126" i="7"/>
  <c r="G126" i="7"/>
  <c r="H125" i="7"/>
  <c r="G125" i="7"/>
  <c r="E125" i="7"/>
  <c r="H124" i="7"/>
  <c r="G124" i="7"/>
  <c r="E124" i="7"/>
  <c r="H123" i="7"/>
  <c r="H122" i="7"/>
  <c r="H121" i="7"/>
  <c r="H119" i="7"/>
  <c r="H118" i="7"/>
  <c r="G118" i="7"/>
  <c r="H117" i="7"/>
  <c r="G117" i="7"/>
  <c r="E117" i="7"/>
  <c r="H116" i="7"/>
  <c r="G116" i="7"/>
  <c r="E116" i="7"/>
  <c r="H115" i="7"/>
  <c r="H114" i="7"/>
  <c r="H112" i="7"/>
  <c r="H107" i="7"/>
  <c r="G107" i="7"/>
  <c r="H106" i="7"/>
  <c r="G106" i="7"/>
  <c r="H105" i="7"/>
  <c r="G105" i="7"/>
  <c r="H104" i="7"/>
  <c r="G104" i="7"/>
  <c r="E104" i="7"/>
  <c r="H103" i="7"/>
  <c r="G103" i="7"/>
  <c r="E103" i="7"/>
  <c r="H102" i="7"/>
  <c r="G102" i="7"/>
  <c r="E102" i="7"/>
  <c r="H101" i="7"/>
  <c r="H100" i="7"/>
  <c r="G100" i="7"/>
  <c r="E100" i="7"/>
  <c r="H99" i="7"/>
  <c r="G99" i="7"/>
  <c r="E99" i="7"/>
  <c r="H98" i="7"/>
  <c r="G98" i="7"/>
  <c r="E98" i="7"/>
  <c r="H97" i="7"/>
  <c r="H96" i="7"/>
  <c r="G96" i="7"/>
  <c r="E96" i="7"/>
  <c r="H95" i="7"/>
  <c r="G95" i="7"/>
  <c r="E95" i="7"/>
  <c r="H94" i="7"/>
  <c r="G94" i="7"/>
  <c r="E94" i="7"/>
  <c r="H93" i="7"/>
  <c r="H92" i="7"/>
  <c r="H91" i="7"/>
  <c r="H90" i="7"/>
  <c r="H89" i="7"/>
  <c r="H88" i="7"/>
  <c r="H87" i="7"/>
  <c r="H85" i="7"/>
  <c r="G85" i="7"/>
  <c r="H84" i="7"/>
  <c r="G84" i="7"/>
  <c r="H83" i="7"/>
  <c r="G83" i="7"/>
  <c r="H82" i="7"/>
  <c r="G82" i="7"/>
  <c r="E82" i="7"/>
  <c r="H81" i="7"/>
  <c r="G81" i="7"/>
  <c r="E81" i="7"/>
  <c r="H80" i="7"/>
  <c r="G80" i="7"/>
  <c r="E80" i="7"/>
  <c r="H79" i="7"/>
  <c r="H78" i="7"/>
  <c r="G78" i="7"/>
  <c r="E78" i="7"/>
  <c r="H77" i="7"/>
  <c r="G77" i="7"/>
  <c r="E77" i="7"/>
  <c r="H76" i="7"/>
  <c r="G76" i="7"/>
  <c r="E76" i="7"/>
  <c r="H75" i="7"/>
  <c r="H74" i="7"/>
  <c r="G74" i="7"/>
  <c r="E74" i="7"/>
  <c r="H73" i="7"/>
  <c r="G73" i="7"/>
  <c r="E73" i="7"/>
  <c r="H72" i="7"/>
  <c r="G72" i="7"/>
  <c r="E72" i="7"/>
  <c r="H71" i="7"/>
  <c r="H70" i="7"/>
  <c r="H69" i="7"/>
  <c r="H68" i="7"/>
  <c r="H67" i="7"/>
  <c r="H66" i="7"/>
  <c r="H64" i="7"/>
  <c r="H57" i="7"/>
  <c r="G57" i="7"/>
  <c r="E57" i="7"/>
  <c r="H56" i="7"/>
  <c r="G56" i="7"/>
  <c r="E56" i="7"/>
  <c r="H48" i="7"/>
  <c r="G48" i="7"/>
  <c r="E48" i="7"/>
  <c r="H47" i="7"/>
  <c r="G47" i="7"/>
  <c r="E47" i="7"/>
  <c r="H46" i="7"/>
  <c r="G46" i="7"/>
  <c r="E46" i="7"/>
  <c r="H45" i="7"/>
  <c r="G45" i="7"/>
  <c r="E45" i="7"/>
  <c r="H44" i="7"/>
  <c r="G44" i="7"/>
  <c r="E44" i="7"/>
  <c r="H43" i="7"/>
  <c r="G43" i="7"/>
  <c r="E43" i="7"/>
  <c r="H42" i="7"/>
  <c r="G42" i="7"/>
  <c r="E42" i="7"/>
  <c r="H41" i="7"/>
  <c r="G41" i="7"/>
  <c r="E41" i="7"/>
  <c r="H40" i="7"/>
  <c r="G40" i="7"/>
  <c r="E40" i="7"/>
  <c r="H39" i="7"/>
  <c r="G39" i="7"/>
  <c r="E39" i="7"/>
  <c r="H38" i="7"/>
  <c r="G38" i="7"/>
  <c r="E38" i="7"/>
  <c r="H37" i="7"/>
  <c r="G37" i="7"/>
  <c r="E37" i="7"/>
  <c r="H36" i="7"/>
  <c r="G36" i="7"/>
  <c r="E36" i="7"/>
  <c r="H35" i="7"/>
  <c r="G35" i="7"/>
  <c r="E35" i="7"/>
  <c r="H34" i="7"/>
  <c r="G34" i="7"/>
  <c r="E34" i="7"/>
  <c r="H33" i="7"/>
  <c r="G33" i="7"/>
  <c r="E33" i="7"/>
  <c r="H32" i="7"/>
  <c r="G32" i="7"/>
  <c r="E32" i="7"/>
  <c r="H31" i="7"/>
  <c r="G31" i="7"/>
  <c r="H30" i="7"/>
  <c r="G30" i="7"/>
  <c r="E30" i="7"/>
  <c r="H29" i="7"/>
  <c r="G29" i="7"/>
  <c r="H28" i="7"/>
  <c r="G28" i="7"/>
  <c r="E28" i="7"/>
  <c r="H27" i="7"/>
  <c r="G27" i="7"/>
  <c r="H26" i="7"/>
  <c r="G26" i="7"/>
  <c r="E26" i="7"/>
  <c r="H25" i="7"/>
  <c r="G25" i="7"/>
  <c r="E25" i="7"/>
  <c r="H24" i="7"/>
  <c r="H23" i="7"/>
  <c r="G23" i="7"/>
  <c r="E23" i="7"/>
  <c r="H22" i="7"/>
  <c r="D12" i="7"/>
  <c r="X20" i="18"/>
  <c r="AD22" i="18" s="1"/>
  <c r="Z24" i="18" s="1"/>
  <c r="M20" i="18"/>
  <c r="S22" i="18" s="1"/>
  <c r="O24" i="18" s="1"/>
  <c r="B20" i="18"/>
  <c r="H22" i="18" s="1"/>
  <c r="D24" i="18" s="1"/>
  <c r="AA19" i="18"/>
  <c r="Z19" i="18"/>
  <c r="Y19" i="18"/>
  <c r="P19" i="18"/>
  <c r="O19" i="18"/>
  <c r="N19" i="18"/>
  <c r="C19" i="18"/>
  <c r="D19" i="18" s="1"/>
  <c r="E19" i="18" s="1"/>
  <c r="Y18" i="18"/>
  <c r="Z18" i="18" s="1"/>
  <c r="AA18" i="18" s="1"/>
  <c r="N18" i="18"/>
  <c r="O18" i="18" s="1"/>
  <c r="P18" i="18" s="1"/>
  <c r="C18" i="18"/>
  <c r="D18" i="18" s="1"/>
  <c r="E18" i="18" s="1"/>
  <c r="AA17" i="18"/>
  <c r="Z17" i="18"/>
  <c r="Y17" i="18"/>
  <c r="P17" i="18"/>
  <c r="O17" i="18"/>
  <c r="N17" i="18"/>
  <c r="C17" i="18"/>
  <c r="D17" i="18" s="1"/>
  <c r="E17" i="18" s="1"/>
  <c r="AA16" i="18"/>
  <c r="Z16" i="18"/>
  <c r="Y16" i="18"/>
  <c r="P16" i="18"/>
  <c r="O16" i="18"/>
  <c r="N16" i="18"/>
  <c r="C16" i="18"/>
  <c r="D16" i="18" s="1"/>
  <c r="E16" i="18" s="1"/>
  <c r="AA15" i="18"/>
  <c r="Z15" i="18"/>
  <c r="Y15" i="18"/>
  <c r="P15" i="18"/>
  <c r="O15" i="18"/>
  <c r="N15" i="18"/>
  <c r="C15" i="18"/>
  <c r="D15" i="18" s="1"/>
  <c r="E15" i="18" s="1"/>
  <c r="AA14" i="18"/>
  <c r="Z14" i="18"/>
  <c r="Y14" i="18"/>
  <c r="P14" i="18"/>
  <c r="O14" i="18"/>
  <c r="N14" i="18"/>
  <c r="C14" i="18"/>
  <c r="D14" i="18" s="1"/>
  <c r="E14" i="18" s="1"/>
  <c r="Y13" i="18"/>
  <c r="Z13" i="18" s="1"/>
  <c r="AA13" i="18" s="1"/>
  <c r="N13" i="18"/>
  <c r="O13" i="18" s="1"/>
  <c r="P13" i="18" s="1"/>
  <c r="C13" i="18"/>
  <c r="D13" i="18" s="1"/>
  <c r="E13" i="18" s="1"/>
  <c r="AA12" i="18"/>
  <c r="Z12" i="18"/>
  <c r="Y12" i="18"/>
  <c r="N12" i="18"/>
  <c r="O12" i="18" s="1"/>
  <c r="P12" i="18" s="1"/>
  <c r="C12" i="18"/>
  <c r="D12" i="18" s="1"/>
  <c r="E12" i="18" s="1"/>
  <c r="AA11" i="18"/>
  <c r="Z11" i="18"/>
  <c r="Y11" i="18"/>
  <c r="N11" i="18"/>
  <c r="O11" i="18" s="1"/>
  <c r="P11" i="18" s="1"/>
  <c r="C11" i="18"/>
  <c r="D11" i="18" s="1"/>
  <c r="E11" i="18" s="1"/>
  <c r="AA10" i="18"/>
  <c r="Z10" i="18"/>
  <c r="Y10" i="18"/>
  <c r="N10" i="18"/>
  <c r="O10" i="18" s="1"/>
  <c r="P10" i="18" s="1"/>
  <c r="C10" i="18"/>
  <c r="D10" i="18" s="1"/>
  <c r="E10" i="18" s="1"/>
  <c r="AA9" i="18"/>
  <c r="Z9" i="18"/>
  <c r="Y9" i="18"/>
  <c r="P9" i="18"/>
  <c r="O9" i="18"/>
  <c r="N9" i="18"/>
  <c r="D9" i="18"/>
  <c r="E9" i="18" s="1"/>
  <c r="C9" i="18"/>
  <c r="AA8" i="18"/>
  <c r="Z8" i="18"/>
  <c r="Y8" i="18"/>
  <c r="P8" i="18"/>
  <c r="O8" i="18"/>
  <c r="N8" i="18"/>
  <c r="C8" i="18"/>
  <c r="D8" i="18" s="1"/>
  <c r="E8" i="18" s="1"/>
  <c r="AA7" i="18"/>
  <c r="Z7" i="18"/>
  <c r="Y7" i="18"/>
  <c r="P7" i="18"/>
  <c r="O7" i="18"/>
  <c r="N7" i="18"/>
  <c r="D7" i="18"/>
  <c r="E7" i="18" s="1"/>
  <c r="C7" i="18"/>
  <c r="AA6" i="18"/>
  <c r="Z6" i="18"/>
  <c r="Y6" i="18"/>
  <c r="P6" i="18"/>
  <c r="O6" i="18"/>
  <c r="N6" i="18"/>
  <c r="C6" i="18"/>
  <c r="D6" i="18" s="1"/>
  <c r="E6" i="18" s="1"/>
  <c r="AA5" i="18"/>
  <c r="Z5" i="18"/>
  <c r="Y5" i="18"/>
  <c r="P5" i="18"/>
  <c r="O5" i="18"/>
  <c r="N5" i="18"/>
  <c r="C5" i="18"/>
  <c r="D5" i="18" s="1"/>
  <c r="E5" i="18" s="1"/>
  <c r="Y4" i="18"/>
  <c r="N4" i="18"/>
  <c r="C4" i="18"/>
  <c r="D4" i="18" s="1"/>
  <c r="H46" i="23"/>
  <c r="G46" i="23"/>
  <c r="H45" i="23"/>
  <c r="G45" i="23"/>
  <c r="H112" i="6"/>
  <c r="H55" i="6"/>
  <c r="G55" i="6"/>
  <c r="H54" i="6"/>
  <c r="G54" i="6"/>
  <c r="H34" i="6"/>
  <c r="G34" i="6"/>
  <c r="H33" i="6"/>
  <c r="G33" i="6"/>
  <c r="H29" i="6"/>
  <c r="G29" i="6"/>
  <c r="H28" i="6"/>
  <c r="G28" i="6"/>
  <c r="H26" i="6"/>
  <c r="G26" i="6"/>
  <c r="H25" i="6"/>
  <c r="G25" i="6"/>
  <c r="H24" i="6"/>
  <c r="G24" i="6"/>
  <c r="H23" i="6"/>
  <c r="G23" i="6"/>
  <c r="AF24" i="22"/>
  <c r="AE24" i="22"/>
  <c r="AD24" i="22"/>
  <c r="AC24" i="22"/>
  <c r="AB24" i="22"/>
  <c r="AA24" i="22"/>
  <c r="Z24" i="22"/>
  <c r="Y24" i="22"/>
  <c r="W24" i="22"/>
  <c r="U24" i="22"/>
  <c r="S24" i="22"/>
  <c r="R24" i="22"/>
  <c r="Q24" i="22"/>
  <c r="P24" i="22"/>
  <c r="O24" i="22"/>
  <c r="N24" i="22"/>
  <c r="M24" i="22"/>
  <c r="L24" i="22"/>
  <c r="J24" i="22"/>
  <c r="I24" i="22"/>
  <c r="H24" i="22"/>
  <c r="G24" i="22"/>
  <c r="F24" i="22"/>
  <c r="E24" i="22"/>
  <c r="D24" i="22"/>
  <c r="C24" i="22"/>
  <c r="B24" i="22"/>
  <c r="A24" i="22"/>
  <c r="AF22" i="22"/>
  <c r="AE22" i="22"/>
  <c r="AD22" i="22"/>
  <c r="AC22" i="22"/>
  <c r="AB22" i="22"/>
  <c r="AA22" i="22"/>
  <c r="Z22" i="22"/>
  <c r="Y22" i="22"/>
  <c r="X22" i="22"/>
  <c r="W22" i="22"/>
  <c r="V22" i="22"/>
  <c r="U22" i="22"/>
  <c r="T22" i="22"/>
  <c r="S22" i="22"/>
  <c r="R22" i="22"/>
  <c r="Q22" i="22"/>
  <c r="N22" i="22"/>
  <c r="M22" i="22"/>
  <c r="L22" i="22"/>
  <c r="K22" i="22"/>
  <c r="J22" i="22"/>
  <c r="H22" i="22"/>
  <c r="G22" i="22"/>
  <c r="F22" i="22"/>
  <c r="C22" i="22"/>
  <c r="B22" i="22"/>
  <c r="A22" i="22"/>
  <c r="AF20" i="22"/>
  <c r="AE20" i="22"/>
  <c r="AD20" i="22"/>
  <c r="AC20" i="22"/>
  <c r="AA20" i="22"/>
  <c r="Z20" i="22"/>
  <c r="Y20" i="22"/>
  <c r="X20" i="22"/>
  <c r="U20" i="22"/>
  <c r="T20" i="22"/>
  <c r="S20" i="22"/>
  <c r="R20" i="22"/>
  <c r="P20" i="22"/>
  <c r="O20" i="22"/>
  <c r="N20" i="22"/>
  <c r="M20" i="22"/>
  <c r="J20" i="22"/>
  <c r="I20" i="22"/>
  <c r="H20" i="22"/>
  <c r="G20" i="22"/>
  <c r="E20" i="22"/>
  <c r="D20" i="22"/>
  <c r="C20" i="22"/>
  <c r="B20" i="22"/>
  <c r="AF19" i="22"/>
  <c r="AE19" i="22"/>
  <c r="AD19" i="22"/>
  <c r="AA19" i="22"/>
  <c r="Z19" i="22"/>
  <c r="Y19" i="22"/>
  <c r="U19" i="22"/>
  <c r="T19" i="22"/>
  <c r="S19" i="22"/>
  <c r="P19" i="22"/>
  <c r="O19" i="22"/>
  <c r="N19" i="22"/>
  <c r="J19" i="22"/>
  <c r="I19" i="22"/>
  <c r="H19" i="22"/>
  <c r="E19" i="22"/>
  <c r="D19" i="22"/>
  <c r="C19" i="22"/>
  <c r="AF18" i="22"/>
  <c r="AE18" i="22"/>
  <c r="AD18" i="22"/>
  <c r="AA18" i="22"/>
  <c r="Z18" i="22"/>
  <c r="Y18" i="22"/>
  <c r="U18" i="22"/>
  <c r="T18" i="22"/>
  <c r="S18" i="22"/>
  <c r="P18" i="22"/>
  <c r="O18" i="22"/>
  <c r="N18" i="22"/>
  <c r="J18" i="22"/>
  <c r="I18" i="22"/>
  <c r="H18" i="22"/>
  <c r="E18" i="22"/>
  <c r="D18" i="22"/>
  <c r="C18" i="22"/>
  <c r="AF17" i="22"/>
  <c r="AE17" i="22"/>
  <c r="AD17" i="22"/>
  <c r="AA17" i="22"/>
  <c r="Z17" i="22"/>
  <c r="Y17" i="22"/>
  <c r="U17" i="22"/>
  <c r="T17" i="22"/>
  <c r="S17" i="22"/>
  <c r="P17" i="22"/>
  <c r="O17" i="22"/>
  <c r="N17" i="22"/>
  <c r="J17" i="22"/>
  <c r="I17" i="22"/>
  <c r="H17" i="22"/>
  <c r="E17" i="22"/>
  <c r="D17" i="22"/>
  <c r="C17" i="22"/>
  <c r="AF16" i="22"/>
  <c r="AE16" i="22"/>
  <c r="AD16" i="22"/>
  <c r="AA16" i="22"/>
  <c r="Z16" i="22"/>
  <c r="Y16" i="22"/>
  <c r="U16" i="22"/>
  <c r="T16" i="22"/>
  <c r="S16" i="22"/>
  <c r="P16" i="22"/>
  <c r="O16" i="22"/>
  <c r="N16" i="22"/>
  <c r="J16" i="22"/>
  <c r="I16" i="22"/>
  <c r="H16" i="22"/>
  <c r="E16" i="22"/>
  <c r="D16" i="22"/>
  <c r="C16" i="22"/>
  <c r="AF15" i="22"/>
  <c r="AE15" i="22"/>
  <c r="AD15" i="22"/>
  <c r="AA15" i="22"/>
  <c r="Z15" i="22"/>
  <c r="Y15" i="22"/>
  <c r="U15" i="22"/>
  <c r="T15" i="22"/>
  <c r="S15" i="22"/>
  <c r="P15" i="22"/>
  <c r="O15" i="22"/>
  <c r="N15" i="22"/>
  <c r="J15" i="22"/>
  <c r="I15" i="22"/>
  <c r="H15" i="22"/>
  <c r="E15" i="22"/>
  <c r="D15" i="22"/>
  <c r="C15" i="22"/>
  <c r="AF14" i="22"/>
  <c r="AE14" i="22"/>
  <c r="AD14" i="22"/>
  <c r="AA14" i="22"/>
  <c r="Z14" i="22"/>
  <c r="Y14" i="22"/>
  <c r="U14" i="22"/>
  <c r="T14" i="22"/>
  <c r="S14" i="22"/>
  <c r="P14" i="22"/>
  <c r="O14" i="22"/>
  <c r="N14" i="22"/>
  <c r="J14" i="22"/>
  <c r="I14" i="22"/>
  <c r="H14" i="22"/>
  <c r="E14" i="22"/>
  <c r="D14" i="22"/>
  <c r="C14" i="22"/>
  <c r="AF13" i="22"/>
  <c r="AE13" i="22"/>
  <c r="AD13" i="22"/>
  <c r="AA13" i="22"/>
  <c r="Z13" i="22"/>
  <c r="Y13" i="22"/>
  <c r="U13" i="22"/>
  <c r="T13" i="22"/>
  <c r="S13" i="22"/>
  <c r="P13" i="22"/>
  <c r="O13" i="22"/>
  <c r="N13" i="22"/>
  <c r="J13" i="22"/>
  <c r="I13" i="22"/>
  <c r="H13" i="22"/>
  <c r="E13" i="22"/>
  <c r="D13" i="22"/>
  <c r="C13" i="22"/>
  <c r="AF12" i="22"/>
  <c r="AE12" i="22"/>
  <c r="AD12" i="22"/>
  <c r="AA12" i="22"/>
  <c r="Z12" i="22"/>
  <c r="Y12" i="22"/>
  <c r="U12" i="22"/>
  <c r="T12" i="22"/>
  <c r="S12" i="22"/>
  <c r="P12" i="22"/>
  <c r="O12" i="22"/>
  <c r="N12" i="22"/>
  <c r="J12" i="22"/>
  <c r="I12" i="22"/>
  <c r="H12" i="22"/>
  <c r="E12" i="22"/>
  <c r="D12" i="22"/>
  <c r="C12" i="22"/>
  <c r="AF11" i="22"/>
  <c r="AE11" i="22"/>
  <c r="AD11" i="22"/>
  <c r="AA11" i="22"/>
  <c r="Z11" i="22"/>
  <c r="Y11" i="22"/>
  <c r="U11" i="22"/>
  <c r="T11" i="22"/>
  <c r="S11" i="22"/>
  <c r="P11" i="22"/>
  <c r="O11" i="22"/>
  <c r="N11" i="22"/>
  <c r="J11" i="22"/>
  <c r="I11" i="22"/>
  <c r="H11" i="22"/>
  <c r="E11" i="22"/>
  <c r="D11" i="22"/>
  <c r="C11" i="22"/>
  <c r="AF10" i="22"/>
  <c r="AE10" i="22"/>
  <c r="AD10" i="22"/>
  <c r="AA10" i="22"/>
  <c r="Z10" i="22"/>
  <c r="Y10" i="22"/>
  <c r="U10" i="22"/>
  <c r="T10" i="22"/>
  <c r="S10" i="22"/>
  <c r="P10" i="22"/>
  <c r="O10" i="22"/>
  <c r="N10" i="22"/>
  <c r="J10" i="22"/>
  <c r="I10" i="22"/>
  <c r="H10" i="22"/>
  <c r="E10" i="22"/>
  <c r="D10" i="22"/>
  <c r="C10" i="22"/>
  <c r="AF9" i="22"/>
  <c r="AE9" i="22"/>
  <c r="AD9" i="22"/>
  <c r="AA9" i="22"/>
  <c r="Z9" i="22"/>
  <c r="Y9" i="22"/>
  <c r="U9" i="22"/>
  <c r="T9" i="22"/>
  <c r="S9" i="22"/>
  <c r="P9" i="22"/>
  <c r="O9" i="22"/>
  <c r="N9" i="22"/>
  <c r="J9" i="22"/>
  <c r="I9" i="22"/>
  <c r="H9" i="22"/>
  <c r="E9" i="22"/>
  <c r="D9" i="22"/>
  <c r="C9" i="22"/>
  <c r="AF8" i="22"/>
  <c r="AE8" i="22"/>
  <c r="AD8" i="22"/>
  <c r="AA8" i="22"/>
  <c r="Z8" i="22"/>
  <c r="Y8" i="22"/>
  <c r="U8" i="22"/>
  <c r="T8" i="22"/>
  <c r="S8" i="22"/>
  <c r="P8" i="22"/>
  <c r="O8" i="22"/>
  <c r="N8" i="22"/>
  <c r="J8" i="22"/>
  <c r="I8" i="22"/>
  <c r="H8" i="22"/>
  <c r="E8" i="22"/>
  <c r="D8" i="22"/>
  <c r="C8" i="22"/>
  <c r="AF7" i="22"/>
  <c r="AE7" i="22"/>
  <c r="AD7" i="22"/>
  <c r="AA7" i="22"/>
  <c r="Z7" i="22"/>
  <c r="Y7" i="22"/>
  <c r="U7" i="22"/>
  <c r="T7" i="22"/>
  <c r="S7" i="22"/>
  <c r="P7" i="22"/>
  <c r="O7" i="22"/>
  <c r="N7" i="22"/>
  <c r="J7" i="22"/>
  <c r="I7" i="22"/>
  <c r="H7" i="22"/>
  <c r="E7" i="22"/>
  <c r="D7" i="22"/>
  <c r="C7" i="22"/>
  <c r="AF6" i="22"/>
  <c r="AE6" i="22"/>
  <c r="AD6" i="22"/>
  <c r="AA6" i="22"/>
  <c r="Z6" i="22"/>
  <c r="Y6" i="22"/>
  <c r="U6" i="22"/>
  <c r="T6" i="22"/>
  <c r="S6" i="22"/>
  <c r="P6" i="22"/>
  <c r="O6" i="22"/>
  <c r="N6" i="22"/>
  <c r="J6" i="22"/>
  <c r="I6" i="22"/>
  <c r="H6" i="22"/>
  <c r="E6" i="22"/>
  <c r="D6" i="22"/>
  <c r="C6" i="22"/>
  <c r="AF5" i="22"/>
  <c r="AE5" i="22"/>
  <c r="AD5" i="22"/>
  <c r="AA5" i="22"/>
  <c r="Z5" i="22"/>
  <c r="Y5" i="22"/>
  <c r="U5" i="22"/>
  <c r="T5" i="22"/>
  <c r="S5" i="22"/>
  <c r="P5" i="22"/>
  <c r="O5" i="22"/>
  <c r="N5" i="22"/>
  <c r="J5" i="22"/>
  <c r="I5" i="22"/>
  <c r="H5" i="22"/>
  <c r="E5" i="22"/>
  <c r="D5" i="22"/>
  <c r="C5" i="22"/>
  <c r="AF4" i="22"/>
  <c r="AE4" i="22"/>
  <c r="AD4" i="22"/>
  <c r="AA4" i="22"/>
  <c r="Z4" i="22"/>
  <c r="Y4" i="22"/>
  <c r="U4" i="22"/>
  <c r="T4" i="22"/>
  <c r="S4" i="22"/>
  <c r="P4" i="22"/>
  <c r="O4" i="22"/>
  <c r="N4" i="22"/>
  <c r="J4" i="22"/>
  <c r="I4" i="22"/>
  <c r="H4" i="22"/>
  <c r="E4" i="22"/>
  <c r="D4" i="22"/>
  <c r="C4" i="22"/>
  <c r="H145" i="14"/>
  <c r="G145" i="14"/>
  <c r="H144" i="14"/>
  <c r="G144" i="14"/>
  <c r="E144" i="14"/>
  <c r="H143" i="14"/>
  <c r="G143" i="14"/>
  <c r="E143" i="14"/>
  <c r="H142" i="14"/>
  <c r="H141" i="14"/>
  <c r="H140" i="14"/>
  <c r="H138" i="14"/>
  <c r="H137" i="14"/>
  <c r="G137" i="14"/>
  <c r="H136" i="14"/>
  <c r="G136" i="14"/>
  <c r="E136" i="14"/>
  <c r="H135" i="14"/>
  <c r="G135" i="14"/>
  <c r="E135" i="14"/>
  <c r="H134" i="14"/>
  <c r="H133" i="14"/>
  <c r="H131" i="14"/>
  <c r="H124" i="14"/>
  <c r="G124" i="14"/>
  <c r="H123" i="14"/>
  <c r="G123" i="14"/>
  <c r="H122" i="14"/>
  <c r="G122" i="14"/>
  <c r="H121" i="14"/>
  <c r="G121" i="14"/>
  <c r="E121" i="14"/>
  <c r="H120" i="14"/>
  <c r="G120" i="14"/>
  <c r="E120" i="14"/>
  <c r="H119" i="14"/>
  <c r="G119" i="14"/>
  <c r="E119" i="14"/>
  <c r="H118" i="14"/>
  <c r="H117" i="14"/>
  <c r="G117" i="14"/>
  <c r="E117" i="14"/>
  <c r="H116" i="14"/>
  <c r="G116" i="14"/>
  <c r="E116" i="14"/>
  <c r="H115" i="14"/>
  <c r="G115" i="14"/>
  <c r="E115" i="14"/>
  <c r="H114" i="14"/>
  <c r="H113" i="14"/>
  <c r="G113" i="14"/>
  <c r="E113" i="14"/>
  <c r="H112" i="14"/>
  <c r="G112" i="14"/>
  <c r="E112" i="14"/>
  <c r="H111" i="14"/>
  <c r="G111" i="14"/>
  <c r="E111" i="14"/>
  <c r="H110" i="14"/>
  <c r="H109" i="14"/>
  <c r="H108" i="14"/>
  <c r="H107" i="14"/>
  <c r="H106" i="14"/>
  <c r="H105" i="14"/>
  <c r="H104" i="14"/>
  <c r="H103" i="14"/>
  <c r="G103" i="14"/>
  <c r="H102" i="14"/>
  <c r="G102" i="14"/>
  <c r="H101" i="14"/>
  <c r="G101" i="14"/>
  <c r="H100" i="14"/>
  <c r="G100" i="14"/>
  <c r="E100" i="14"/>
  <c r="H99" i="14"/>
  <c r="G99" i="14"/>
  <c r="E99" i="14"/>
  <c r="H98" i="14"/>
  <c r="G98" i="14"/>
  <c r="E98" i="14"/>
  <c r="H97" i="14"/>
  <c r="H96" i="14"/>
  <c r="G96" i="14"/>
  <c r="E96" i="14"/>
  <c r="H95" i="14"/>
  <c r="G95" i="14"/>
  <c r="E95" i="14"/>
  <c r="H94" i="14"/>
  <c r="G94" i="14"/>
  <c r="E94" i="14"/>
  <c r="H93" i="14"/>
  <c r="H92" i="14"/>
  <c r="G92" i="14"/>
  <c r="E92" i="14"/>
  <c r="H91" i="14"/>
  <c r="G91" i="14"/>
  <c r="E91" i="14"/>
  <c r="H90" i="14"/>
  <c r="G90" i="14"/>
  <c r="E90" i="14"/>
  <c r="H89" i="14"/>
  <c r="H88" i="14"/>
  <c r="H87" i="14"/>
  <c r="H86" i="14"/>
  <c r="H85" i="14"/>
  <c r="H84" i="14"/>
  <c r="H82" i="14"/>
  <c r="H78" i="14"/>
  <c r="H74" i="14"/>
  <c r="G74" i="14"/>
  <c r="E74" i="14"/>
  <c r="H73" i="14"/>
  <c r="G73" i="14"/>
  <c r="H72" i="14"/>
  <c r="G72" i="14"/>
  <c r="H71" i="14"/>
  <c r="G71" i="14"/>
  <c r="H70" i="14"/>
  <c r="G70" i="14"/>
  <c r="H69" i="14"/>
  <c r="G69" i="14"/>
  <c r="H68" i="14"/>
  <c r="G68" i="14"/>
  <c r="E68" i="14"/>
  <c r="H67" i="14"/>
  <c r="G67" i="14"/>
  <c r="E67" i="14"/>
  <c r="H66" i="14"/>
  <c r="G66" i="14"/>
  <c r="E66" i="14"/>
  <c r="H65" i="14"/>
  <c r="G65" i="14"/>
  <c r="E65" i="14"/>
  <c r="E65" i="14" a="1"/>
  <c r="H64" i="14"/>
  <c r="G64" i="14"/>
  <c r="E64" i="14"/>
  <c r="E64" i="14" a="1"/>
  <c r="H63" i="14"/>
  <c r="G63" i="14"/>
  <c r="E63" i="14"/>
  <c r="E63" i="14" a="1"/>
  <c r="H62" i="14"/>
  <c r="G62" i="14"/>
  <c r="E62" i="14"/>
  <c r="E62" i="14" a="1"/>
  <c r="H61" i="14"/>
  <c r="G61" i="14"/>
  <c r="E61" i="14"/>
  <c r="H60" i="14"/>
  <c r="G60" i="14"/>
  <c r="H59" i="14"/>
  <c r="G59" i="14"/>
  <c r="H58" i="14"/>
  <c r="G58" i="14"/>
  <c r="E58" i="14"/>
  <c r="H57" i="14"/>
  <c r="G57" i="14"/>
  <c r="E57" i="14"/>
  <c r="H56" i="14"/>
  <c r="G56" i="14"/>
  <c r="E56" i="14"/>
  <c r="H55" i="14"/>
  <c r="G55" i="14"/>
  <c r="E55" i="14"/>
  <c r="H54" i="14"/>
  <c r="G54" i="14"/>
  <c r="E54" i="14"/>
  <c r="H53" i="14"/>
  <c r="G53" i="14"/>
  <c r="E53" i="14"/>
  <c r="H52" i="14"/>
  <c r="G52" i="14"/>
  <c r="E52" i="14"/>
  <c r="H51" i="14"/>
  <c r="G51" i="14"/>
  <c r="E51" i="14"/>
  <c r="H50" i="14"/>
  <c r="G50" i="14"/>
  <c r="E50" i="14"/>
  <c r="H49" i="14"/>
  <c r="G49" i="14"/>
  <c r="E49" i="14"/>
  <c r="H48" i="14"/>
  <c r="G48" i="14"/>
  <c r="E48" i="14"/>
  <c r="H47" i="14"/>
  <c r="G47" i="14"/>
  <c r="E47" i="14"/>
  <c r="H46" i="14"/>
  <c r="G46" i="14"/>
  <c r="E46" i="14"/>
  <c r="H45" i="14"/>
  <c r="G45" i="14"/>
  <c r="E45" i="14"/>
  <c r="H44" i="14"/>
  <c r="G44" i="14"/>
  <c r="E44" i="14"/>
  <c r="H43" i="14"/>
  <c r="G43" i="14"/>
  <c r="E43" i="14"/>
  <c r="H42" i="14"/>
  <c r="G42" i="14"/>
  <c r="E42" i="14"/>
  <c r="H41" i="14"/>
  <c r="G41" i="14"/>
  <c r="E41" i="14"/>
  <c r="H40" i="14"/>
  <c r="G40" i="14"/>
  <c r="E40" i="14"/>
  <c r="H39" i="14"/>
  <c r="G39" i="14"/>
  <c r="H38" i="14"/>
  <c r="G38" i="14"/>
  <c r="H37" i="14"/>
  <c r="G37" i="14"/>
  <c r="H36" i="14"/>
  <c r="G36" i="14"/>
  <c r="H35" i="14"/>
  <c r="G35" i="14"/>
  <c r="H34" i="14"/>
  <c r="G34" i="14"/>
  <c r="H33" i="14"/>
  <c r="G33" i="14"/>
  <c r="E33" i="14"/>
  <c r="H32" i="14"/>
  <c r="G32" i="14"/>
  <c r="E32" i="14"/>
  <c r="H31" i="14"/>
  <c r="H30" i="14"/>
  <c r="G30" i="14"/>
  <c r="H29" i="14"/>
  <c r="G29" i="14"/>
  <c r="H28" i="14"/>
  <c r="G28" i="14"/>
  <c r="H27" i="14"/>
  <c r="G27" i="14"/>
  <c r="H26" i="14"/>
  <c r="G26" i="14"/>
  <c r="E26" i="14"/>
  <c r="H25" i="14"/>
  <c r="G25" i="14"/>
  <c r="H24" i="14"/>
  <c r="D24" i="14"/>
  <c r="H23" i="14"/>
  <c r="G23" i="14"/>
  <c r="E23" i="14"/>
  <c r="H22" i="14"/>
  <c r="G22" i="14"/>
  <c r="E22" i="14"/>
  <c r="H21" i="14"/>
  <c r="D21" i="14"/>
  <c r="D11" i="14"/>
  <c r="H123" i="15"/>
  <c r="G123" i="15"/>
  <c r="H122" i="15"/>
  <c r="G122" i="15"/>
  <c r="E122" i="15"/>
  <c r="H121" i="15"/>
  <c r="G121" i="15"/>
  <c r="E121" i="15"/>
  <c r="H120" i="15"/>
  <c r="H119" i="15"/>
  <c r="H118" i="15"/>
  <c r="H116" i="15"/>
  <c r="H115" i="15"/>
  <c r="G115" i="15"/>
  <c r="H114" i="15"/>
  <c r="G114" i="15"/>
  <c r="E114" i="15"/>
  <c r="H113" i="15"/>
  <c r="G113" i="15"/>
  <c r="E113" i="15"/>
  <c r="H112" i="15"/>
  <c r="H111" i="15"/>
  <c r="H109" i="15"/>
  <c r="H104" i="15"/>
  <c r="G104" i="15"/>
  <c r="H103" i="15"/>
  <c r="G103" i="15"/>
  <c r="H102" i="15"/>
  <c r="G102" i="15"/>
  <c r="H101" i="15"/>
  <c r="G101" i="15"/>
  <c r="E101" i="15"/>
  <c r="H100" i="15"/>
  <c r="G100" i="15"/>
  <c r="E100" i="15"/>
  <c r="H99" i="15"/>
  <c r="G99" i="15"/>
  <c r="E99" i="15"/>
  <c r="H98" i="15"/>
  <c r="H97" i="15"/>
  <c r="G97" i="15"/>
  <c r="E97" i="15"/>
  <c r="H96" i="15"/>
  <c r="G96" i="15"/>
  <c r="E96" i="15"/>
  <c r="H95" i="15"/>
  <c r="G95" i="15"/>
  <c r="E95" i="15"/>
  <c r="H94" i="15"/>
  <c r="H93" i="15"/>
  <c r="G93" i="15"/>
  <c r="E93" i="15"/>
  <c r="H92" i="15"/>
  <c r="G92" i="15"/>
  <c r="E92" i="15"/>
  <c r="H91" i="15"/>
  <c r="G91" i="15"/>
  <c r="E91" i="15"/>
  <c r="H90" i="15"/>
  <c r="H89" i="15"/>
  <c r="H88" i="15"/>
  <c r="H87" i="15"/>
  <c r="H86" i="15"/>
  <c r="H85" i="15"/>
  <c r="H84" i="15"/>
  <c r="H83" i="15"/>
  <c r="G83" i="15"/>
  <c r="H82" i="15"/>
  <c r="G82" i="15"/>
  <c r="H81" i="15"/>
  <c r="G81" i="15"/>
  <c r="H80" i="15"/>
  <c r="G80" i="15"/>
  <c r="E80" i="15"/>
  <c r="H79" i="15"/>
  <c r="G79" i="15"/>
  <c r="E79" i="15"/>
  <c r="H78" i="15"/>
  <c r="G78" i="15"/>
  <c r="E78" i="15"/>
  <c r="H77" i="15"/>
  <c r="H76" i="15"/>
  <c r="G76" i="15"/>
  <c r="E76" i="15"/>
  <c r="H75" i="15"/>
  <c r="G75" i="15"/>
  <c r="E75" i="15"/>
  <c r="H74" i="15"/>
  <c r="G74" i="15"/>
  <c r="E74" i="15"/>
  <c r="H73" i="15"/>
  <c r="H72" i="15"/>
  <c r="G72" i="15"/>
  <c r="E72" i="15"/>
  <c r="H71" i="15"/>
  <c r="G71" i="15"/>
  <c r="E71" i="15"/>
  <c r="H70" i="15"/>
  <c r="G70" i="15"/>
  <c r="E70" i="15"/>
  <c r="H69" i="15"/>
  <c r="H68" i="15"/>
  <c r="H67" i="15"/>
  <c r="H66" i="15"/>
  <c r="H65" i="15"/>
  <c r="H64" i="15"/>
  <c r="H62" i="15"/>
  <c r="H56" i="15"/>
  <c r="H52" i="15"/>
  <c r="G52" i="15"/>
  <c r="E52" i="15"/>
  <c r="H51" i="15"/>
  <c r="G51" i="15"/>
  <c r="E51" i="15"/>
  <c r="H50" i="15"/>
  <c r="G50" i="15"/>
  <c r="E50" i="15"/>
  <c r="E50" i="15" a="1"/>
  <c r="H49" i="15"/>
  <c r="G49" i="15"/>
  <c r="E49" i="15"/>
  <c r="E49" i="15" a="1"/>
  <c r="H48" i="15"/>
  <c r="G48" i="15"/>
  <c r="E48" i="15"/>
  <c r="E48" i="15" a="1"/>
  <c r="H47" i="15"/>
  <c r="G47" i="15"/>
  <c r="E47" i="15"/>
  <c r="E47" i="15" a="1"/>
  <c r="H46" i="15"/>
  <c r="G46" i="15"/>
  <c r="E46" i="15"/>
  <c r="H45" i="15"/>
  <c r="G45" i="15"/>
  <c r="H44" i="15"/>
  <c r="G44" i="15"/>
  <c r="H43" i="15"/>
  <c r="G43" i="15"/>
  <c r="E43" i="15"/>
  <c r="H42" i="15"/>
  <c r="G42" i="15"/>
  <c r="E42" i="15"/>
  <c r="H41" i="15"/>
  <c r="G41" i="15"/>
  <c r="E41" i="15"/>
  <c r="H40" i="15"/>
  <c r="G40" i="15"/>
  <c r="E40" i="15"/>
  <c r="H39" i="15"/>
  <c r="G39" i="15"/>
  <c r="E39" i="15"/>
  <c r="H38" i="15"/>
  <c r="G38" i="15"/>
  <c r="E38" i="15"/>
  <c r="H37" i="15"/>
  <c r="G37" i="15"/>
  <c r="E37" i="15"/>
  <c r="H36" i="15"/>
  <c r="G36" i="15"/>
  <c r="E36" i="15"/>
  <c r="H35" i="15"/>
  <c r="G35" i="15"/>
  <c r="E35" i="15"/>
  <c r="H34" i="15"/>
  <c r="G34" i="15"/>
  <c r="E34" i="15"/>
  <c r="H33" i="15"/>
  <c r="G33" i="15"/>
  <c r="E33" i="15"/>
  <c r="H32" i="15"/>
  <c r="G32" i="15"/>
  <c r="E32" i="15"/>
  <c r="H31" i="15"/>
  <c r="G31" i="15"/>
  <c r="E31" i="15"/>
  <c r="H30" i="15"/>
  <c r="G30" i="15"/>
  <c r="E30" i="15"/>
  <c r="H29" i="15"/>
  <c r="G29" i="15"/>
  <c r="E29" i="15"/>
  <c r="H28" i="15"/>
  <c r="G28" i="15"/>
  <c r="E28" i="15"/>
  <c r="H27" i="15"/>
  <c r="G27" i="15"/>
  <c r="E27" i="15"/>
  <c r="H26" i="15"/>
  <c r="G26" i="15"/>
  <c r="H25" i="15"/>
  <c r="G25" i="15"/>
  <c r="E25" i="15"/>
  <c r="H24" i="15"/>
  <c r="H23" i="15"/>
  <c r="G23" i="15"/>
  <c r="E23" i="15"/>
  <c r="H22" i="15"/>
  <c r="G22" i="15"/>
  <c r="G53" i="15" s="1"/>
  <c r="E22" i="15"/>
  <c r="H21" i="15"/>
  <c r="D21" i="15"/>
  <c r="D11" i="15"/>
  <c r="AF24" i="4"/>
  <c r="AE24" i="4"/>
  <c r="AD24" i="4"/>
  <c r="AB24" i="4"/>
  <c r="E24" i="4"/>
  <c r="A24" i="4"/>
  <c r="AF22" i="4"/>
  <c r="AE22" i="4"/>
  <c r="AD22" i="4"/>
  <c r="AC22" i="4"/>
  <c r="AB22" i="4"/>
  <c r="Y22" i="4"/>
  <c r="X22" i="4"/>
  <c r="W22" i="4"/>
  <c r="M22" i="4"/>
  <c r="L22" i="4"/>
  <c r="B22" i="4"/>
  <c r="A22" i="4"/>
  <c r="AF20" i="4"/>
  <c r="AE20" i="4"/>
  <c r="AD20" i="4"/>
  <c r="AC20" i="4"/>
  <c r="AA20" i="4"/>
  <c r="Z20" i="4"/>
  <c r="Y20" i="4"/>
  <c r="X20" i="4"/>
  <c r="R20" i="4"/>
  <c r="Q22" i="4" s="1"/>
  <c r="R22" i="4" s="1"/>
  <c r="Q24" i="4" s="1"/>
  <c r="P20" i="4"/>
  <c r="O20" i="4"/>
  <c r="N20" i="4"/>
  <c r="M20" i="4"/>
  <c r="G20" i="4"/>
  <c r="H22" i="4" s="1"/>
  <c r="D24" i="4" s="1"/>
  <c r="E20" i="4"/>
  <c r="D20" i="4"/>
  <c r="C20" i="4"/>
  <c r="B20" i="4"/>
  <c r="AF19" i="4"/>
  <c r="AE19" i="4"/>
  <c r="AD19" i="4"/>
  <c r="AA19" i="4"/>
  <c r="Z19" i="4"/>
  <c r="Y19" i="4"/>
  <c r="U19" i="4"/>
  <c r="T19" i="4"/>
  <c r="S19" i="4"/>
  <c r="P19" i="4"/>
  <c r="O19" i="4"/>
  <c r="N19" i="4"/>
  <c r="J19" i="4"/>
  <c r="I19" i="4"/>
  <c r="H19" i="4"/>
  <c r="E19" i="4"/>
  <c r="D19" i="4"/>
  <c r="C19" i="4"/>
  <c r="AF18" i="4"/>
  <c r="AE18" i="4"/>
  <c r="AD18" i="4"/>
  <c r="AA18" i="4"/>
  <c r="Z18" i="4"/>
  <c r="U18" i="4"/>
  <c r="T18" i="4"/>
  <c r="S18" i="4"/>
  <c r="P18" i="4"/>
  <c r="O18" i="4"/>
  <c r="N18" i="4"/>
  <c r="J18" i="4"/>
  <c r="I18" i="4"/>
  <c r="H18" i="4"/>
  <c r="E18" i="4"/>
  <c r="D18" i="4"/>
  <c r="C18" i="4"/>
  <c r="AF17" i="4"/>
  <c r="AE17" i="4"/>
  <c r="AD17" i="4"/>
  <c r="AA17" i="4"/>
  <c r="Z17" i="4"/>
  <c r="U17" i="4"/>
  <c r="T17" i="4"/>
  <c r="S17" i="4"/>
  <c r="P17" i="4"/>
  <c r="O17" i="4"/>
  <c r="N17" i="4"/>
  <c r="J17" i="4"/>
  <c r="I17" i="4"/>
  <c r="H17" i="4"/>
  <c r="E17" i="4"/>
  <c r="D17" i="4"/>
  <c r="C17" i="4"/>
  <c r="AF16" i="4"/>
  <c r="AE16" i="4"/>
  <c r="AD16" i="4"/>
  <c r="AA16" i="4"/>
  <c r="Z16" i="4"/>
  <c r="S16" i="4"/>
  <c r="T16" i="4" s="1"/>
  <c r="U16" i="4" s="1"/>
  <c r="P16" i="4"/>
  <c r="O16" i="4"/>
  <c r="N16" i="4"/>
  <c r="J16" i="4"/>
  <c r="I16" i="4"/>
  <c r="H16" i="4"/>
  <c r="E16" i="4"/>
  <c r="D16" i="4"/>
  <c r="C16" i="4"/>
  <c r="AF15" i="4"/>
  <c r="AE15" i="4"/>
  <c r="AD15" i="4"/>
  <c r="AA15" i="4"/>
  <c r="Z15" i="4"/>
  <c r="U15" i="4"/>
  <c r="T15" i="4"/>
  <c r="S15" i="4"/>
  <c r="P15" i="4"/>
  <c r="O15" i="4"/>
  <c r="N15" i="4"/>
  <c r="J15" i="4"/>
  <c r="I15" i="4"/>
  <c r="H15" i="4"/>
  <c r="E15" i="4"/>
  <c r="D15" i="4"/>
  <c r="C15" i="4"/>
  <c r="AF14" i="4"/>
  <c r="AE14" i="4"/>
  <c r="AD14" i="4"/>
  <c r="AA14" i="4"/>
  <c r="Z14" i="4"/>
  <c r="U14" i="4"/>
  <c r="T14" i="4"/>
  <c r="S14" i="4"/>
  <c r="P14" i="4"/>
  <c r="O14" i="4"/>
  <c r="N14" i="4"/>
  <c r="H14" i="4"/>
  <c r="I14" i="4" s="1"/>
  <c r="J14" i="4" s="1"/>
  <c r="E14" i="4"/>
  <c r="D14" i="4"/>
  <c r="C14" i="4"/>
  <c r="AF13" i="4"/>
  <c r="AE13" i="4"/>
  <c r="AD13" i="4"/>
  <c r="AA13" i="4"/>
  <c r="Z13" i="4"/>
  <c r="U13" i="4"/>
  <c r="T13" i="4"/>
  <c r="S13" i="4"/>
  <c r="P13" i="4"/>
  <c r="O13" i="4"/>
  <c r="N13" i="4"/>
  <c r="J13" i="4"/>
  <c r="I13" i="4"/>
  <c r="H13" i="4"/>
  <c r="E13" i="4"/>
  <c r="D13" i="4"/>
  <c r="C13" i="4"/>
  <c r="AF12" i="4"/>
  <c r="AE12" i="4"/>
  <c r="AD12" i="4"/>
  <c r="AA12" i="4"/>
  <c r="Z12" i="4"/>
  <c r="U12" i="4"/>
  <c r="T12" i="4"/>
  <c r="S12" i="4"/>
  <c r="P12" i="4"/>
  <c r="O12" i="4"/>
  <c r="N12" i="4"/>
  <c r="J12" i="4"/>
  <c r="I12" i="4"/>
  <c r="H12" i="4"/>
  <c r="E12" i="4"/>
  <c r="D12" i="4"/>
  <c r="C12" i="4"/>
  <c r="AF11" i="4"/>
  <c r="AE11" i="4"/>
  <c r="AD11" i="4"/>
  <c r="AA11" i="4"/>
  <c r="Z11" i="4"/>
  <c r="U11" i="4"/>
  <c r="T11" i="4"/>
  <c r="S11" i="4"/>
  <c r="P11" i="4"/>
  <c r="O11" i="4"/>
  <c r="N11" i="4"/>
  <c r="J11" i="4"/>
  <c r="I11" i="4"/>
  <c r="H11" i="4"/>
  <c r="E11" i="4"/>
  <c r="D11" i="4"/>
  <c r="C11" i="4"/>
  <c r="AF10" i="4"/>
  <c r="AE10" i="4"/>
  <c r="AD10" i="4"/>
  <c r="AA10" i="4"/>
  <c r="Z10" i="4"/>
  <c r="U10" i="4"/>
  <c r="T10" i="4"/>
  <c r="S10" i="4"/>
  <c r="P10" i="4"/>
  <c r="O10" i="4"/>
  <c r="N10" i="4"/>
  <c r="J10" i="4"/>
  <c r="I10" i="4"/>
  <c r="H10" i="4"/>
  <c r="E10" i="4"/>
  <c r="D10" i="4"/>
  <c r="C10" i="4"/>
  <c r="AF9" i="4"/>
  <c r="AE9" i="4"/>
  <c r="AD9" i="4"/>
  <c r="AA9" i="4"/>
  <c r="Z9" i="4"/>
  <c r="U9" i="4"/>
  <c r="T9" i="4"/>
  <c r="S9" i="4"/>
  <c r="P9" i="4"/>
  <c r="O9" i="4"/>
  <c r="N9" i="4"/>
  <c r="J9" i="4"/>
  <c r="I9" i="4"/>
  <c r="H9" i="4"/>
  <c r="E9" i="4"/>
  <c r="D9" i="4"/>
  <c r="C9" i="4"/>
  <c r="AF8" i="4"/>
  <c r="AE8" i="4"/>
  <c r="AD8" i="4"/>
  <c r="AA8" i="4"/>
  <c r="Z8" i="4"/>
  <c r="U8" i="4"/>
  <c r="T8" i="4"/>
  <c r="S8" i="4"/>
  <c r="P8" i="4"/>
  <c r="O8" i="4"/>
  <c r="N8" i="4"/>
  <c r="J8" i="4"/>
  <c r="I8" i="4"/>
  <c r="H8" i="4"/>
  <c r="E8" i="4"/>
  <c r="D8" i="4"/>
  <c r="C8" i="4"/>
  <c r="AF7" i="4"/>
  <c r="AE7" i="4"/>
  <c r="AD7" i="4"/>
  <c r="AA7" i="4"/>
  <c r="Z7" i="4"/>
  <c r="U7" i="4"/>
  <c r="T7" i="4"/>
  <c r="S7" i="4"/>
  <c r="P7" i="4"/>
  <c r="O7" i="4"/>
  <c r="N7" i="4"/>
  <c r="H7" i="4"/>
  <c r="I7" i="4" s="1"/>
  <c r="J7" i="4" s="1"/>
  <c r="E7" i="4"/>
  <c r="D7" i="4"/>
  <c r="C7" i="4"/>
  <c r="AF6" i="4"/>
  <c r="AE6" i="4"/>
  <c r="AD6" i="4"/>
  <c r="AA6" i="4"/>
  <c r="Z6" i="4"/>
  <c r="S6" i="4"/>
  <c r="T6" i="4" s="1"/>
  <c r="P6" i="4"/>
  <c r="O6" i="4"/>
  <c r="N6" i="4"/>
  <c r="J6" i="4"/>
  <c r="I6" i="4"/>
  <c r="H6" i="4"/>
  <c r="E6" i="4"/>
  <c r="D6" i="4"/>
  <c r="C6" i="4"/>
  <c r="AF5" i="4"/>
  <c r="AE5" i="4"/>
  <c r="AD5" i="4"/>
  <c r="AA5" i="4"/>
  <c r="Z5" i="4"/>
  <c r="U5" i="4"/>
  <c r="T5" i="4"/>
  <c r="S5" i="4"/>
  <c r="P5" i="4"/>
  <c r="O5" i="4"/>
  <c r="N5" i="4"/>
  <c r="J5" i="4"/>
  <c r="I5" i="4"/>
  <c r="H5" i="4"/>
  <c r="E5" i="4"/>
  <c r="D5" i="4"/>
  <c r="C5" i="4"/>
  <c r="AF4" i="4"/>
  <c r="AE4" i="4"/>
  <c r="AD4" i="4"/>
  <c r="AA4" i="4"/>
  <c r="Z4" i="4"/>
  <c r="U4" i="4"/>
  <c r="T4" i="4"/>
  <c r="S4" i="4"/>
  <c r="P4" i="4"/>
  <c r="O4" i="4"/>
  <c r="N4" i="4"/>
  <c r="H4" i="4"/>
  <c r="I4" i="4" s="1"/>
  <c r="E4" i="4"/>
  <c r="D4" i="4"/>
  <c r="C4" i="4"/>
  <c r="H114" i="2"/>
  <c r="G114" i="2"/>
  <c r="E114" i="2"/>
  <c r="H113" i="2"/>
  <c r="G113" i="2"/>
  <c r="E113" i="2"/>
  <c r="H112" i="2"/>
  <c r="G112" i="2"/>
  <c r="E112" i="2"/>
  <c r="H111" i="2"/>
  <c r="H93" i="2"/>
  <c r="G93" i="2"/>
  <c r="E93" i="2"/>
  <c r="H92" i="2"/>
  <c r="G92" i="2"/>
  <c r="E92" i="2"/>
  <c r="H91" i="2"/>
  <c r="G91" i="2"/>
  <c r="E91" i="2"/>
  <c r="H90" i="2"/>
  <c r="H67" i="2"/>
  <c r="G67" i="2"/>
  <c r="H66" i="2"/>
  <c r="G66" i="2"/>
  <c r="H65" i="2"/>
  <c r="G65" i="2"/>
  <c r="H64" i="2"/>
  <c r="G64" i="2"/>
  <c r="H63" i="2"/>
  <c r="G63" i="2"/>
  <c r="H61" i="2"/>
  <c r="G61" i="2"/>
  <c r="H55" i="2"/>
  <c r="G55" i="2"/>
  <c r="H54" i="2"/>
  <c r="G54" i="2"/>
  <c r="H37" i="2"/>
  <c r="G37" i="2"/>
  <c r="H36" i="2"/>
  <c r="G36" i="2"/>
  <c r="H35" i="2"/>
  <c r="G35" i="2"/>
  <c r="H34" i="2"/>
  <c r="G34" i="2"/>
  <c r="H33" i="2"/>
  <c r="G33" i="2"/>
  <c r="H32" i="2"/>
  <c r="G32" i="2"/>
  <c r="H29" i="2"/>
  <c r="G29" i="2"/>
  <c r="H28" i="2"/>
  <c r="G28" i="2"/>
  <c r="H27" i="2"/>
  <c r="G27" i="2"/>
  <c r="H26" i="2"/>
  <c r="G26" i="2"/>
  <c r="H24" i="2"/>
  <c r="G24" i="2"/>
  <c r="H22" i="2"/>
  <c r="G22" i="2"/>
  <c r="E22" i="2"/>
  <c r="H21" i="2"/>
  <c r="D21" i="2"/>
  <c r="J3" i="2"/>
  <c r="H122" i="10"/>
  <c r="G122" i="10"/>
  <c r="E122" i="10"/>
  <c r="H114" i="10"/>
  <c r="G114" i="10"/>
  <c r="E114" i="10"/>
  <c r="H102" i="10"/>
  <c r="G102" i="10"/>
  <c r="E102" i="10"/>
  <c r="H101" i="10"/>
  <c r="G101" i="10"/>
  <c r="E101" i="10"/>
  <c r="H100" i="10"/>
  <c r="G100" i="10"/>
  <c r="E100" i="10"/>
  <c r="H99" i="10"/>
  <c r="H81" i="10"/>
  <c r="G81" i="10"/>
  <c r="E81" i="10"/>
  <c r="H80" i="10"/>
  <c r="G80" i="10"/>
  <c r="E80" i="10"/>
  <c r="H79" i="10"/>
  <c r="G79" i="10"/>
  <c r="E79" i="10"/>
  <c r="H78" i="10"/>
  <c r="H51" i="10"/>
  <c r="G51" i="10"/>
  <c r="H50" i="10"/>
  <c r="G50" i="10"/>
  <c r="H49" i="10"/>
  <c r="G49" i="10"/>
  <c r="H42" i="10"/>
  <c r="G42" i="10"/>
  <c r="H41" i="10"/>
  <c r="G41" i="10"/>
  <c r="H24" i="10"/>
  <c r="G24" i="10"/>
  <c r="H22" i="10"/>
  <c r="G22" i="10"/>
  <c r="E22" i="10"/>
  <c r="H21" i="10"/>
  <c r="D11" i="10"/>
  <c r="J3" i="10"/>
  <c r="E115" i="12"/>
  <c r="G115" i="12" s="1"/>
  <c r="E114" i="12"/>
  <c r="H114" i="12" s="1"/>
  <c r="E113" i="12"/>
  <c r="H113" i="12" s="1"/>
  <c r="E93" i="12"/>
  <c r="H93" i="12" s="1"/>
  <c r="E92" i="12"/>
  <c r="G92" i="12" s="1"/>
  <c r="E91" i="12"/>
  <c r="H91" i="12" s="1"/>
  <c r="H65" i="12"/>
  <c r="G65" i="12"/>
  <c r="H64" i="12"/>
  <c r="G64" i="12"/>
  <c r="H63" i="12"/>
  <c r="G63" i="12"/>
  <c r="H62" i="12"/>
  <c r="G62" i="12"/>
  <c r="H61" i="12"/>
  <c r="G61" i="12"/>
  <c r="H54" i="12"/>
  <c r="G54" i="12"/>
  <c r="H53" i="12"/>
  <c r="G53" i="12"/>
  <c r="H36" i="12"/>
  <c r="G36" i="12"/>
  <c r="H35" i="12"/>
  <c r="G35" i="12"/>
  <c r="H34" i="12"/>
  <c r="G34" i="12"/>
  <c r="H33" i="12"/>
  <c r="G33" i="12"/>
  <c r="H32" i="12"/>
  <c r="G32" i="12"/>
  <c r="H31" i="12"/>
  <c r="G31" i="12"/>
  <c r="H28" i="12"/>
  <c r="G28" i="12"/>
  <c r="H27" i="12"/>
  <c r="G27" i="12"/>
  <c r="H26" i="12"/>
  <c r="G26" i="12"/>
  <c r="H25" i="12"/>
  <c r="G25" i="12"/>
  <c r="H23" i="12"/>
  <c r="G23" i="12"/>
  <c r="J3" i="12"/>
  <c r="D9" i="25" l="1"/>
  <c r="E9" i="25" s="1"/>
  <c r="D10" i="25"/>
  <c r="E10" i="25" s="1"/>
  <c r="N20" i="25"/>
  <c r="N22" i="25" s="1"/>
  <c r="P4" i="25"/>
  <c r="P20" i="25" s="1"/>
  <c r="O20" i="25"/>
  <c r="U24" i="25" s="1"/>
  <c r="G75" i="14"/>
  <c r="G76" i="14"/>
  <c r="H75" i="14"/>
  <c r="G54" i="15"/>
  <c r="H53" i="15"/>
  <c r="B24" i="4"/>
  <c r="L24" i="4" s="1"/>
  <c r="S22" i="4"/>
  <c r="T20" i="4"/>
  <c r="U24" i="4" s="1"/>
  <c r="U6" i="4"/>
  <c r="U20" i="4" s="1"/>
  <c r="S20" i="4"/>
  <c r="N22" i="4" s="1"/>
  <c r="F22" i="4"/>
  <c r="G22" i="4" s="1"/>
  <c r="E133" i="12"/>
  <c r="H133" i="12" s="1"/>
  <c r="D11" i="12"/>
  <c r="E125" i="12"/>
  <c r="G125" i="12" s="1"/>
  <c r="D23" i="2"/>
  <c r="F24" i="4"/>
  <c r="H115" i="12"/>
  <c r="H112" i="12" s="1"/>
  <c r="G91" i="12"/>
  <c r="G114" i="12"/>
  <c r="H92" i="12"/>
  <c r="H90" i="12" s="1"/>
  <c r="G93" i="12"/>
  <c r="G113" i="12"/>
  <c r="E136" i="2"/>
  <c r="E128" i="2"/>
  <c r="D11" i="2"/>
  <c r="J4" i="4"/>
  <c r="J20" i="4" s="1"/>
  <c r="I20" i="4"/>
  <c r="J24" i="4" s="1"/>
  <c r="M24" i="4"/>
  <c r="X24" i="4" s="1"/>
  <c r="H20" i="4"/>
  <c r="G24" i="4"/>
  <c r="C20" i="25"/>
  <c r="C24" i="25" s="1"/>
  <c r="D4" i="25"/>
  <c r="A24" i="25"/>
  <c r="E24" i="24" s="1"/>
  <c r="H200" i="16"/>
  <c r="H196" i="16"/>
  <c r="H31" i="16"/>
  <c r="H27" i="16"/>
  <c r="H218" i="16"/>
  <c r="G226" i="16"/>
  <c r="H212" i="16" s="1"/>
  <c r="H222" i="16"/>
  <c r="H43" i="16"/>
  <c r="H50" i="16"/>
  <c r="H214" i="16"/>
  <c r="G204" i="16"/>
  <c r="H204" i="16" s="1"/>
  <c r="H192" i="16"/>
  <c r="G178" i="16"/>
  <c r="G179" i="16" s="1"/>
  <c r="G101" i="24"/>
  <c r="H99" i="24"/>
  <c r="H77" i="24"/>
  <c r="G78" i="24"/>
  <c r="G102" i="24"/>
  <c r="G79" i="24"/>
  <c r="G80" i="24"/>
  <c r="G100" i="24"/>
  <c r="G58" i="7"/>
  <c r="G59" i="7" s="1"/>
  <c r="G60" i="7" s="1"/>
  <c r="H60" i="7" s="1"/>
  <c r="Y20" i="18"/>
  <c r="Y22" i="18" s="1"/>
  <c r="Z4" i="18"/>
  <c r="N20" i="18"/>
  <c r="N22" i="18" s="1"/>
  <c r="O4" i="18"/>
  <c r="A24" i="18"/>
  <c r="E121" i="23" s="1"/>
  <c r="C20" i="18"/>
  <c r="D11" i="6"/>
  <c r="D21" i="6"/>
  <c r="D20" i="18"/>
  <c r="J24" i="18" s="1"/>
  <c r="D11" i="23"/>
  <c r="C22" i="18"/>
  <c r="E4" i="18"/>
  <c r="E20" i="18" s="1"/>
  <c r="S24" i="25" l="1"/>
  <c r="V22" i="25"/>
  <c r="U22" i="25"/>
  <c r="G77" i="14"/>
  <c r="H77" i="14" s="1"/>
  <c r="H76" i="14"/>
  <c r="G55" i="15"/>
  <c r="H55" i="15" s="1"/>
  <c r="H54" i="15"/>
  <c r="G133" i="12"/>
  <c r="T24" i="4"/>
  <c r="S24" i="4"/>
  <c r="V22" i="4"/>
  <c r="U22" i="4"/>
  <c r="H125" i="12"/>
  <c r="E25" i="2"/>
  <c r="E24" i="12"/>
  <c r="E52" i="2"/>
  <c r="E48" i="2"/>
  <c r="E44" i="2"/>
  <c r="E40" i="2"/>
  <c r="E45" i="10" a="1"/>
  <c r="E45" i="10" s="1"/>
  <c r="E56" i="2"/>
  <c r="E46" i="12"/>
  <c r="I24" i="4"/>
  <c r="E59" i="2" a="1"/>
  <c r="E59" i="2" s="1"/>
  <c r="E68" i="2"/>
  <c r="E52" i="10"/>
  <c r="E47" i="10" a="1"/>
  <c r="E47" i="10" s="1"/>
  <c r="E44" i="10" a="1"/>
  <c r="E44" i="10" s="1"/>
  <c r="E50" i="2"/>
  <c r="E46" i="2"/>
  <c r="E42" i="2"/>
  <c r="E39" i="10"/>
  <c r="E35" i="10"/>
  <c r="E31" i="10"/>
  <c r="E27" i="10"/>
  <c r="E66" i="12"/>
  <c r="E49" i="12"/>
  <c r="E45" i="12"/>
  <c r="E41" i="12"/>
  <c r="E58" i="2" a="1"/>
  <c r="E58" i="2" s="1"/>
  <c r="E57" i="12" a="1"/>
  <c r="E57" i="12" s="1"/>
  <c r="E43" i="10"/>
  <c r="E53" i="2"/>
  <c r="E49" i="2"/>
  <c r="E45" i="2"/>
  <c r="E41" i="2"/>
  <c r="E46" i="10" a="1"/>
  <c r="E46" i="10" s="1"/>
  <c r="E38" i="10"/>
  <c r="E34" i="10"/>
  <c r="E30" i="10"/>
  <c r="E52" i="12"/>
  <c r="E48" i="12"/>
  <c r="E44" i="12"/>
  <c r="E40" i="12"/>
  <c r="E60" i="2" a="1"/>
  <c r="E60" i="2" s="1"/>
  <c r="E57" i="2" a="1"/>
  <c r="E57" i="2" s="1"/>
  <c r="E59" i="12" a="1"/>
  <c r="E59" i="12" s="1"/>
  <c r="E56" i="12" a="1"/>
  <c r="E56" i="12" s="1"/>
  <c r="E37" i="10"/>
  <c r="E33" i="10"/>
  <c r="E29" i="10"/>
  <c r="E51" i="12"/>
  <c r="E47" i="12"/>
  <c r="E43" i="12"/>
  <c r="E39" i="12"/>
  <c r="E55" i="12"/>
  <c r="E51" i="2"/>
  <c r="E47" i="2"/>
  <c r="E43" i="2"/>
  <c r="E40" i="10"/>
  <c r="E36" i="10"/>
  <c r="E32" i="10"/>
  <c r="E28" i="10"/>
  <c r="E58" i="12" a="1"/>
  <c r="E58" i="12" s="1"/>
  <c r="E50" i="12"/>
  <c r="E42" i="12"/>
  <c r="C24" i="4"/>
  <c r="C22" i="4"/>
  <c r="H128" i="2"/>
  <c r="G128" i="2"/>
  <c r="H24" i="4"/>
  <c r="K22" i="4"/>
  <c r="J22" i="4"/>
  <c r="W24" i="4"/>
  <c r="E31" i="2"/>
  <c r="E30" i="12"/>
  <c r="H136" i="2"/>
  <c r="G136" i="2"/>
  <c r="C22" i="25"/>
  <c r="D11" i="24"/>
  <c r="E22" i="24"/>
  <c r="D21" i="24"/>
  <c r="G24" i="25"/>
  <c r="E26" i="24" s="1"/>
  <c r="F22" i="25"/>
  <c r="E122" i="24"/>
  <c r="E114" i="24"/>
  <c r="D20" i="25"/>
  <c r="J24" i="25" s="1"/>
  <c r="E4" i="25"/>
  <c r="E20" i="25" s="1"/>
  <c r="E28" i="24"/>
  <c r="E27" i="24"/>
  <c r="G227" i="16"/>
  <c r="H213" i="16"/>
  <c r="H187" i="16"/>
  <c r="H188" i="16"/>
  <c r="H189" i="16"/>
  <c r="H190" i="16"/>
  <c r="H208" i="16"/>
  <c r="H209" i="16"/>
  <c r="H226" i="16"/>
  <c r="H191" i="16"/>
  <c r="G205" i="16"/>
  <c r="G206" i="16" s="1"/>
  <c r="H206" i="16" s="1"/>
  <c r="H210" i="16"/>
  <c r="H211" i="16"/>
  <c r="H178" i="16"/>
  <c r="G228" i="16"/>
  <c r="H228" i="16" s="1"/>
  <c r="H227" i="16"/>
  <c r="G180" i="16"/>
  <c r="H180" i="16" s="1"/>
  <c r="H179" i="16"/>
  <c r="H58" i="7"/>
  <c r="H59" i="7"/>
  <c r="E128" i="6"/>
  <c r="F22" i="18"/>
  <c r="E27" i="23" s="1"/>
  <c r="G27" i="23" s="1"/>
  <c r="D21" i="23"/>
  <c r="Z20" i="18"/>
  <c r="AF24" i="18" s="1"/>
  <c r="AA4" i="18"/>
  <c r="AA20" i="18" s="1"/>
  <c r="E113" i="23"/>
  <c r="H113" i="23" s="1"/>
  <c r="F24" i="18"/>
  <c r="E22" i="6" s="1"/>
  <c r="H22" i="6" s="1"/>
  <c r="C24" i="18"/>
  <c r="E30" i="23" s="1"/>
  <c r="H30" i="23" s="1"/>
  <c r="E24" i="18"/>
  <c r="E27" i="6" s="1"/>
  <c r="B24" i="18"/>
  <c r="E22" i="23" s="1"/>
  <c r="H22" i="23" s="1"/>
  <c r="H27" i="23"/>
  <c r="E35" i="6"/>
  <c r="G35" i="6" s="1"/>
  <c r="P4" i="18"/>
  <c r="P20" i="18" s="1"/>
  <c r="O20" i="18"/>
  <c r="U24" i="18" s="1"/>
  <c r="G24" i="18"/>
  <c r="E120" i="6"/>
  <c r="E57" i="6" a="1"/>
  <c r="E57" i="6" s="1"/>
  <c r="H57" i="6" s="1"/>
  <c r="E41" i="23"/>
  <c r="G41" i="23" s="1"/>
  <c r="H128" i="6"/>
  <c r="G128" i="6"/>
  <c r="H24" i="18"/>
  <c r="K22" i="18"/>
  <c r="J22" i="18"/>
  <c r="H121" i="23"/>
  <c r="G121" i="23"/>
  <c r="E98" i="24" l="1"/>
  <c r="E76" i="24"/>
  <c r="E74" i="24"/>
  <c r="E96" i="24"/>
  <c r="E97" i="24"/>
  <c r="E75" i="24"/>
  <c r="E111" i="12"/>
  <c r="E98" i="10"/>
  <c r="E89" i="2"/>
  <c r="E77" i="10"/>
  <c r="E110" i="2"/>
  <c r="E89" i="12"/>
  <c r="E108" i="2"/>
  <c r="E109" i="12"/>
  <c r="E75" i="10"/>
  <c r="E96" i="10"/>
  <c r="E87" i="12"/>
  <c r="E87" i="2"/>
  <c r="E76" i="10"/>
  <c r="E97" i="10"/>
  <c r="E88" i="12"/>
  <c r="E110" i="12"/>
  <c r="E88" i="2"/>
  <c r="E109" i="2"/>
  <c r="E23" i="24"/>
  <c r="H23" i="24" s="1"/>
  <c r="P15" i="24"/>
  <c r="G24" i="12"/>
  <c r="H24" i="12"/>
  <c r="H22" i="12" s="1"/>
  <c r="G25" i="2"/>
  <c r="H25" i="2"/>
  <c r="H23" i="2" s="1"/>
  <c r="H51" i="12"/>
  <c r="G51" i="12"/>
  <c r="H52" i="10"/>
  <c r="G52" i="10"/>
  <c r="H30" i="10"/>
  <c r="G30" i="10"/>
  <c r="H45" i="12"/>
  <c r="G45" i="12"/>
  <c r="H31" i="2"/>
  <c r="G31" i="2"/>
  <c r="H28" i="10"/>
  <c r="G28" i="10"/>
  <c r="H29" i="10"/>
  <c r="G29" i="10"/>
  <c r="H34" i="10"/>
  <c r="G34" i="10"/>
  <c r="G49" i="12"/>
  <c r="H49" i="12"/>
  <c r="H68" i="2"/>
  <c r="G68" i="2"/>
  <c r="H30" i="12"/>
  <c r="G30" i="12"/>
  <c r="H38" i="10"/>
  <c r="G38" i="10"/>
  <c r="G66" i="12"/>
  <c r="H66" i="12"/>
  <c r="H59" i="2"/>
  <c r="G59" i="2"/>
  <c r="E94" i="10"/>
  <c r="E107" i="12"/>
  <c r="E85" i="2"/>
  <c r="E73" i="10"/>
  <c r="E85" i="12"/>
  <c r="E106" i="2"/>
  <c r="H36" i="10"/>
  <c r="G36" i="10"/>
  <c r="H37" i="10"/>
  <c r="G37" i="10"/>
  <c r="H46" i="10"/>
  <c r="G46" i="10"/>
  <c r="H27" i="10"/>
  <c r="G27" i="10"/>
  <c r="E48" i="10"/>
  <c r="E62" i="2"/>
  <c r="E60" i="12"/>
  <c r="G58" i="12"/>
  <c r="H58" i="12"/>
  <c r="H56" i="12"/>
  <c r="G56" i="12"/>
  <c r="H41" i="2"/>
  <c r="G41" i="2"/>
  <c r="H31" i="10"/>
  <c r="G31" i="10"/>
  <c r="H46" i="12"/>
  <c r="G46" i="12"/>
  <c r="H33" i="10"/>
  <c r="G33" i="10"/>
  <c r="H43" i="2"/>
  <c r="G43" i="2"/>
  <c r="H59" i="12"/>
  <c r="G59" i="12"/>
  <c r="H45" i="2"/>
  <c r="G45" i="2"/>
  <c r="G35" i="10"/>
  <c r="H35" i="10"/>
  <c r="H56" i="2"/>
  <c r="G56" i="2"/>
  <c r="H40" i="10"/>
  <c r="G40" i="10"/>
  <c r="H57" i="2"/>
  <c r="G57" i="2"/>
  <c r="H49" i="2"/>
  <c r="G49" i="2"/>
  <c r="G39" i="10"/>
  <c r="H39" i="10"/>
  <c r="H45" i="10"/>
  <c r="G45" i="10"/>
  <c r="E106" i="12"/>
  <c r="E105" i="2"/>
  <c r="E84" i="12"/>
  <c r="E84" i="2"/>
  <c r="E72" i="10"/>
  <c r="E93" i="10"/>
  <c r="H47" i="2"/>
  <c r="G47" i="2"/>
  <c r="H51" i="2"/>
  <c r="G51" i="2"/>
  <c r="H60" i="2"/>
  <c r="G60" i="2"/>
  <c r="H53" i="2"/>
  <c r="G53" i="2"/>
  <c r="H42" i="2"/>
  <c r="G42" i="2"/>
  <c r="H40" i="2"/>
  <c r="G40" i="2"/>
  <c r="H43" i="10"/>
  <c r="G43" i="10"/>
  <c r="H46" i="2"/>
  <c r="G46" i="2"/>
  <c r="H44" i="2"/>
  <c r="G44" i="2"/>
  <c r="H40" i="12"/>
  <c r="G40" i="12"/>
  <c r="E38" i="2"/>
  <c r="E37" i="12"/>
  <c r="E38" i="12"/>
  <c r="E26" i="10"/>
  <c r="E25" i="10"/>
  <c r="E39" i="2"/>
  <c r="H39" i="12"/>
  <c r="G39" i="12"/>
  <c r="H44" i="12"/>
  <c r="G44" i="12"/>
  <c r="G57" i="12"/>
  <c r="H57" i="12"/>
  <c r="H50" i="2"/>
  <c r="G50" i="2"/>
  <c r="H48" i="2"/>
  <c r="G48" i="2"/>
  <c r="H44" i="10"/>
  <c r="G44" i="10"/>
  <c r="H52" i="2"/>
  <c r="G52" i="2"/>
  <c r="H32" i="10"/>
  <c r="G32" i="10"/>
  <c r="E71" i="10"/>
  <c r="E83" i="12"/>
  <c r="E104" i="2"/>
  <c r="E92" i="10"/>
  <c r="E105" i="12"/>
  <c r="E83" i="2"/>
  <c r="G55" i="12"/>
  <c r="H55" i="12"/>
  <c r="H42" i="12"/>
  <c r="G42" i="12"/>
  <c r="H43" i="12"/>
  <c r="G43" i="12"/>
  <c r="H48" i="12"/>
  <c r="G48" i="12"/>
  <c r="H58" i="2"/>
  <c r="G58" i="2"/>
  <c r="H50" i="12"/>
  <c r="G50" i="12"/>
  <c r="H47" i="12"/>
  <c r="G47" i="12"/>
  <c r="H52" i="12"/>
  <c r="G52" i="12"/>
  <c r="G41" i="12"/>
  <c r="H41" i="12"/>
  <c r="H47" i="10"/>
  <c r="G47" i="10"/>
  <c r="H24" i="25"/>
  <c r="K22" i="25"/>
  <c r="J22" i="25"/>
  <c r="H122" i="24"/>
  <c r="G122" i="24"/>
  <c r="E54" i="24"/>
  <c r="E36" i="24"/>
  <c r="E33" i="24"/>
  <c r="E35" i="24"/>
  <c r="E34" i="24"/>
  <c r="E30" i="24"/>
  <c r="I24" i="25"/>
  <c r="E50" i="24" s="1"/>
  <c r="E32" i="24"/>
  <c r="E31" i="24"/>
  <c r="E42" i="24"/>
  <c r="E41" i="24"/>
  <c r="E29" i="24"/>
  <c r="E40" i="24"/>
  <c r="E39" i="24"/>
  <c r="E38" i="24"/>
  <c r="E37" i="24"/>
  <c r="H114" i="24"/>
  <c r="G114" i="24"/>
  <c r="H22" i="24"/>
  <c r="G22" i="24"/>
  <c r="H28" i="24"/>
  <c r="G28" i="24"/>
  <c r="H27" i="24"/>
  <c r="G27" i="24"/>
  <c r="H26" i="24"/>
  <c r="G26" i="24"/>
  <c r="H205" i="16"/>
  <c r="E56" i="6"/>
  <c r="G56" i="6" s="1"/>
  <c r="E50" i="6"/>
  <c r="G50" i="6" s="1"/>
  <c r="E36" i="23"/>
  <c r="H36" i="23" s="1"/>
  <c r="E48" i="23" a="1"/>
  <c r="E48" i="23" s="1"/>
  <c r="H48" i="23" s="1"/>
  <c r="E51" i="6"/>
  <c r="H51" i="6" s="1"/>
  <c r="G113" i="23"/>
  <c r="E52" i="6"/>
  <c r="H52" i="6" s="1"/>
  <c r="AD24" i="18"/>
  <c r="AG22" i="18"/>
  <c r="AF22" i="18"/>
  <c r="E23" i="23"/>
  <c r="G23" i="23" s="1"/>
  <c r="G22" i="6"/>
  <c r="E29" i="23"/>
  <c r="E28" i="23" s="1"/>
  <c r="H28" i="23" s="1"/>
  <c r="G30" i="23"/>
  <c r="H35" i="6"/>
  <c r="E39" i="6"/>
  <c r="E38" i="6" s="1"/>
  <c r="G38" i="6" s="1"/>
  <c r="E58" i="6" a="1"/>
  <c r="E58" i="6" s="1"/>
  <c r="H58" i="6" s="1"/>
  <c r="E53" i="23"/>
  <c r="G53" i="23" s="1"/>
  <c r="E49" i="23" a="1"/>
  <c r="E49" i="23" s="1"/>
  <c r="H49" i="23" s="1"/>
  <c r="G22" i="23"/>
  <c r="E34" i="23"/>
  <c r="G34" i="23" s="1"/>
  <c r="H50" i="6"/>
  <c r="E32" i="23"/>
  <c r="H32" i="23" s="1"/>
  <c r="E47" i="6"/>
  <c r="H41" i="23"/>
  <c r="H56" i="6"/>
  <c r="E37" i="23"/>
  <c r="E39" i="23"/>
  <c r="E44" i="23"/>
  <c r="E47" i="23"/>
  <c r="E40" i="6"/>
  <c r="E59" i="6" a="1"/>
  <c r="E59" i="6" s="1"/>
  <c r="E43" i="6"/>
  <c r="E42" i="23"/>
  <c r="E62" i="6"/>
  <c r="E43" i="23"/>
  <c r="E46" i="6"/>
  <c r="E35" i="23"/>
  <c r="E44" i="6"/>
  <c r="E42" i="6"/>
  <c r="I24" i="18"/>
  <c r="E53" i="6"/>
  <c r="E49" i="6"/>
  <c r="E45" i="6"/>
  <c r="E41" i="6"/>
  <c r="E31" i="23"/>
  <c r="E51" i="23" a="1"/>
  <c r="E51" i="23" s="1"/>
  <c r="E50" i="23" a="1"/>
  <c r="E50" i="23" s="1"/>
  <c r="E48" i="6"/>
  <c r="V22" i="18"/>
  <c r="U22" i="18"/>
  <c r="S24" i="18"/>
  <c r="E38" i="23"/>
  <c r="E33" i="23"/>
  <c r="G33" i="23" s="1"/>
  <c r="E60" i="6" a="1"/>
  <c r="E60" i="6" s="1"/>
  <c r="E40" i="23"/>
  <c r="H40" i="23" s="1"/>
  <c r="E32" i="6"/>
  <c r="E26" i="23"/>
  <c r="H120" i="6"/>
  <c r="G120" i="6"/>
  <c r="G57" i="6"/>
  <c r="E69" i="23"/>
  <c r="E77" i="6"/>
  <c r="E91" i="23"/>
  <c r="E98" i="6"/>
  <c r="E78" i="6"/>
  <c r="E92" i="23"/>
  <c r="E70" i="23"/>
  <c r="E99" i="6"/>
  <c r="H27" i="6"/>
  <c r="H21" i="6" s="1"/>
  <c r="G27" i="6"/>
  <c r="E93" i="23"/>
  <c r="E100" i="6"/>
  <c r="E71" i="23"/>
  <c r="E79" i="6"/>
  <c r="H75" i="24" l="1"/>
  <c r="G75" i="24"/>
  <c r="G97" i="24"/>
  <c r="H97" i="24"/>
  <c r="G96" i="24"/>
  <c r="H96" i="24"/>
  <c r="H74" i="24"/>
  <c r="G74" i="24"/>
  <c r="G76" i="24"/>
  <c r="H76" i="24"/>
  <c r="H98" i="24"/>
  <c r="G98" i="24"/>
  <c r="H87" i="12"/>
  <c r="G87" i="12"/>
  <c r="H96" i="10"/>
  <c r="G96" i="10"/>
  <c r="H75" i="10"/>
  <c r="G75" i="10"/>
  <c r="G109" i="12"/>
  <c r="H109" i="12"/>
  <c r="G108" i="2"/>
  <c r="H108" i="2"/>
  <c r="H109" i="2"/>
  <c r="G109" i="2"/>
  <c r="H89" i="12"/>
  <c r="G89" i="12"/>
  <c r="H88" i="2"/>
  <c r="G88" i="2"/>
  <c r="H110" i="2"/>
  <c r="G110" i="2"/>
  <c r="H87" i="2"/>
  <c r="H86" i="2" s="1"/>
  <c r="G87" i="2"/>
  <c r="H110" i="12"/>
  <c r="G110" i="12"/>
  <c r="H77" i="10"/>
  <c r="G77" i="10"/>
  <c r="H88" i="12"/>
  <c r="G88" i="12"/>
  <c r="H89" i="2"/>
  <c r="G89" i="2"/>
  <c r="H72" i="2" s="1"/>
  <c r="H97" i="10"/>
  <c r="G97" i="10"/>
  <c r="H98" i="10"/>
  <c r="G98" i="10"/>
  <c r="G76" i="10"/>
  <c r="H76" i="10"/>
  <c r="G111" i="12"/>
  <c r="H111" i="12"/>
  <c r="G23" i="24"/>
  <c r="G37" i="12"/>
  <c r="H37" i="12"/>
  <c r="E129" i="2"/>
  <c r="H83" i="2"/>
  <c r="G83" i="2"/>
  <c r="E134" i="12"/>
  <c r="H105" i="12"/>
  <c r="G105" i="12"/>
  <c r="H26" i="10"/>
  <c r="G26" i="10"/>
  <c r="H93" i="10"/>
  <c r="G93" i="10"/>
  <c r="H72" i="10"/>
  <c r="G72" i="10"/>
  <c r="H106" i="2"/>
  <c r="G106" i="2"/>
  <c r="E123" i="10"/>
  <c r="H92" i="10"/>
  <c r="G92" i="10"/>
  <c r="E126" i="12"/>
  <c r="H83" i="12"/>
  <c r="G83" i="12"/>
  <c r="H60" i="12"/>
  <c r="G60" i="12"/>
  <c r="H38" i="2"/>
  <c r="G38" i="2"/>
  <c r="H84" i="2"/>
  <c r="G84" i="2"/>
  <c r="H85" i="12"/>
  <c r="G85" i="12"/>
  <c r="E115" i="10"/>
  <c r="H71" i="10"/>
  <c r="G71" i="10"/>
  <c r="H84" i="12"/>
  <c r="G84" i="12"/>
  <c r="H62" i="2"/>
  <c r="G62" i="2"/>
  <c r="H73" i="10"/>
  <c r="G73" i="10"/>
  <c r="G48" i="10"/>
  <c r="H48" i="10"/>
  <c r="H85" i="2"/>
  <c r="G85" i="2"/>
  <c r="H106" i="12"/>
  <c r="G106" i="12"/>
  <c r="H107" i="12"/>
  <c r="G107" i="12"/>
  <c r="H105" i="2"/>
  <c r="G105" i="2"/>
  <c r="H94" i="10"/>
  <c r="G94" i="10"/>
  <c r="H38" i="12"/>
  <c r="G38" i="12"/>
  <c r="E137" i="2"/>
  <c r="H104" i="2"/>
  <c r="H103" i="2" s="1"/>
  <c r="G104" i="2"/>
  <c r="H39" i="2"/>
  <c r="G39" i="2"/>
  <c r="H25" i="10"/>
  <c r="G25" i="10"/>
  <c r="H37" i="24"/>
  <c r="G37" i="24"/>
  <c r="H35" i="24"/>
  <c r="G35" i="24"/>
  <c r="H33" i="24"/>
  <c r="G33" i="24"/>
  <c r="G50" i="24"/>
  <c r="H50" i="24"/>
  <c r="H39" i="24"/>
  <c r="G39" i="24"/>
  <c r="H36" i="24"/>
  <c r="G36" i="24"/>
  <c r="H24" i="24"/>
  <c r="H21" i="24" s="1"/>
  <c r="G24" i="24"/>
  <c r="G54" i="24"/>
  <c r="H54" i="24"/>
  <c r="H34" i="24"/>
  <c r="G34" i="24"/>
  <c r="H40" i="24"/>
  <c r="G40" i="24"/>
  <c r="H29" i="24"/>
  <c r="G29" i="24"/>
  <c r="H30" i="24"/>
  <c r="G30" i="24"/>
  <c r="H41" i="24"/>
  <c r="G41" i="24"/>
  <c r="H42" i="24"/>
  <c r="G42" i="24"/>
  <c r="E72" i="24"/>
  <c r="E94" i="24"/>
  <c r="H38" i="24"/>
  <c r="G38" i="24"/>
  <c r="H31" i="24"/>
  <c r="G31" i="24"/>
  <c r="E70" i="24"/>
  <c r="E92" i="24"/>
  <c r="H32" i="24"/>
  <c r="G32" i="24"/>
  <c r="E71" i="24"/>
  <c r="E93" i="24"/>
  <c r="G36" i="23"/>
  <c r="G52" i="6"/>
  <c r="G48" i="23"/>
  <c r="G29" i="23"/>
  <c r="H23" i="23"/>
  <c r="H21" i="23" s="1"/>
  <c r="G51" i="6"/>
  <c r="H38" i="6"/>
  <c r="E37" i="6"/>
  <c r="E36" i="6" s="1"/>
  <c r="G28" i="23"/>
  <c r="H29" i="23"/>
  <c r="H39" i="6"/>
  <c r="G39" i="6"/>
  <c r="E108" i="6"/>
  <c r="E79" i="23"/>
  <c r="E87" i="6"/>
  <c r="E101" i="23"/>
  <c r="E77" i="23"/>
  <c r="E85" i="6"/>
  <c r="E99" i="23"/>
  <c r="E106" i="6"/>
  <c r="E78" i="23"/>
  <c r="E86" i="6"/>
  <c r="E100" i="23"/>
  <c r="E107" i="6"/>
  <c r="G58" i="6"/>
  <c r="H53" i="23"/>
  <c r="H34" i="23"/>
  <c r="G40" i="23"/>
  <c r="G32" i="23"/>
  <c r="G49" i="23"/>
  <c r="H37" i="23"/>
  <c r="G37" i="23"/>
  <c r="G39" i="23"/>
  <c r="H39" i="23"/>
  <c r="H47" i="6"/>
  <c r="G47" i="6"/>
  <c r="H44" i="23"/>
  <c r="G44" i="23"/>
  <c r="E96" i="23"/>
  <c r="E82" i="6"/>
  <c r="E74" i="23"/>
  <c r="E103" i="6"/>
  <c r="H44" i="6"/>
  <c r="G44" i="6"/>
  <c r="E73" i="23"/>
  <c r="E102" i="6"/>
  <c r="E95" i="23"/>
  <c r="E81" i="6"/>
  <c r="H35" i="23"/>
  <c r="G35" i="23"/>
  <c r="G46" i="6"/>
  <c r="H46" i="6"/>
  <c r="E83" i="6"/>
  <c r="E75" i="23"/>
  <c r="E104" i="6"/>
  <c r="E97" i="23"/>
  <c r="H48" i="6"/>
  <c r="G48" i="6"/>
  <c r="H33" i="23"/>
  <c r="H50" i="23"/>
  <c r="G50" i="23"/>
  <c r="H43" i="23"/>
  <c r="G43" i="23"/>
  <c r="H51" i="23"/>
  <c r="G51" i="23"/>
  <c r="G62" i="6"/>
  <c r="H62" i="6"/>
  <c r="H31" i="23"/>
  <c r="G31" i="23"/>
  <c r="H42" i="23"/>
  <c r="G42" i="23"/>
  <c r="G42" i="6"/>
  <c r="H42" i="6"/>
  <c r="H41" i="6"/>
  <c r="G41" i="6"/>
  <c r="H43" i="6"/>
  <c r="G43" i="6"/>
  <c r="G60" i="6"/>
  <c r="H60" i="6"/>
  <c r="H45" i="6"/>
  <c r="G45" i="6"/>
  <c r="H59" i="6"/>
  <c r="G59" i="6"/>
  <c r="H49" i="6"/>
  <c r="G49" i="6"/>
  <c r="G40" i="6"/>
  <c r="H40" i="6"/>
  <c r="H38" i="23"/>
  <c r="G38" i="23"/>
  <c r="G47" i="23"/>
  <c r="H47" i="23"/>
  <c r="H53" i="6"/>
  <c r="G53" i="6"/>
  <c r="E25" i="23"/>
  <c r="E31" i="6"/>
  <c r="H26" i="23"/>
  <c r="G26" i="23"/>
  <c r="H32" i="6"/>
  <c r="G32" i="6"/>
  <c r="G79" i="6"/>
  <c r="H79" i="6"/>
  <c r="H71" i="23"/>
  <c r="G71" i="23"/>
  <c r="H92" i="23"/>
  <c r="G92" i="23"/>
  <c r="H91" i="23"/>
  <c r="G91" i="23"/>
  <c r="H70" i="23"/>
  <c r="G70" i="23"/>
  <c r="G93" i="23"/>
  <c r="H93" i="23"/>
  <c r="H98" i="6"/>
  <c r="G98" i="6"/>
  <c r="H77" i="6"/>
  <c r="G77" i="6"/>
  <c r="H99" i="6"/>
  <c r="G99" i="6"/>
  <c r="H100" i="6"/>
  <c r="G100" i="6"/>
  <c r="G78" i="6"/>
  <c r="H78" i="6"/>
  <c r="G69" i="23"/>
  <c r="H69" i="23"/>
  <c r="H73" i="24" l="1"/>
  <c r="H95" i="24"/>
  <c r="G69" i="2"/>
  <c r="H69" i="2" s="1"/>
  <c r="H107" i="2"/>
  <c r="H108" i="12"/>
  <c r="H74" i="10"/>
  <c r="G115" i="2"/>
  <c r="H101" i="2" s="1"/>
  <c r="H95" i="10"/>
  <c r="H86" i="12"/>
  <c r="G67" i="12"/>
  <c r="H67" i="12" s="1"/>
  <c r="H30" i="2"/>
  <c r="G94" i="12"/>
  <c r="H70" i="12" s="1"/>
  <c r="G116" i="12"/>
  <c r="G117" i="12" s="1"/>
  <c r="H29" i="12"/>
  <c r="G126" i="12"/>
  <c r="G127" i="12" s="1"/>
  <c r="H126" i="12"/>
  <c r="G115" i="10"/>
  <c r="G116" i="10" s="1"/>
  <c r="H115" i="10"/>
  <c r="G103" i="10"/>
  <c r="H104" i="12"/>
  <c r="G134" i="12"/>
  <c r="G135" i="12" s="1"/>
  <c r="H134" i="12"/>
  <c r="H82" i="12"/>
  <c r="H91" i="10"/>
  <c r="G94" i="2"/>
  <c r="H137" i="2"/>
  <c r="G137" i="2"/>
  <c r="G138" i="2" s="1"/>
  <c r="G53" i="10"/>
  <c r="H82" i="2"/>
  <c r="H129" i="2"/>
  <c r="G129" i="2"/>
  <c r="G130" i="2" s="1"/>
  <c r="H70" i="10"/>
  <c r="G123" i="10"/>
  <c r="G124" i="10" s="1"/>
  <c r="H123" i="10"/>
  <c r="H23" i="10"/>
  <c r="G82" i="10"/>
  <c r="G55" i="24"/>
  <c r="H55" i="24" s="1"/>
  <c r="H25" i="24"/>
  <c r="H93" i="24"/>
  <c r="G93" i="24"/>
  <c r="E123" i="24"/>
  <c r="H92" i="24"/>
  <c r="G92" i="24"/>
  <c r="H71" i="24"/>
  <c r="G71" i="24"/>
  <c r="E115" i="24"/>
  <c r="H70" i="24"/>
  <c r="G70" i="24"/>
  <c r="H94" i="24"/>
  <c r="G94" i="24"/>
  <c r="G72" i="24"/>
  <c r="H72" i="24"/>
  <c r="H37" i="6"/>
  <c r="G37" i="6"/>
  <c r="E114" i="23"/>
  <c r="H114" i="23" s="1"/>
  <c r="H78" i="23"/>
  <c r="G78" i="23"/>
  <c r="H106" i="6"/>
  <c r="G106" i="6"/>
  <c r="H99" i="23"/>
  <c r="H98" i="23" s="1"/>
  <c r="G99" i="23"/>
  <c r="H86" i="6"/>
  <c r="G86" i="6"/>
  <c r="H85" i="6"/>
  <c r="G85" i="6"/>
  <c r="E129" i="6"/>
  <c r="H129" i="6" s="1"/>
  <c r="H77" i="23"/>
  <c r="G77" i="23"/>
  <c r="H79" i="23"/>
  <c r="G79" i="23"/>
  <c r="H101" i="23"/>
  <c r="G101" i="23"/>
  <c r="H87" i="6"/>
  <c r="G87" i="6"/>
  <c r="H108" i="6"/>
  <c r="G108" i="6"/>
  <c r="E121" i="6"/>
  <c r="H121" i="6" s="1"/>
  <c r="G107" i="6"/>
  <c r="H107" i="6"/>
  <c r="H100" i="23"/>
  <c r="G100" i="23"/>
  <c r="H97" i="6"/>
  <c r="H81" i="6"/>
  <c r="G81" i="6"/>
  <c r="H95" i="23"/>
  <c r="G95" i="23"/>
  <c r="E122" i="23"/>
  <c r="H122" i="23" s="1"/>
  <c r="H97" i="23"/>
  <c r="G97" i="23"/>
  <c r="H104" i="6"/>
  <c r="G104" i="6"/>
  <c r="H25" i="23"/>
  <c r="H24" i="23" s="1"/>
  <c r="G25" i="23"/>
  <c r="G54" i="23" s="1"/>
  <c r="G102" i="6"/>
  <c r="H102" i="6"/>
  <c r="H103" i="6"/>
  <c r="G103" i="6"/>
  <c r="H75" i="23"/>
  <c r="G75" i="23"/>
  <c r="H73" i="23"/>
  <c r="G73" i="23"/>
  <c r="G31" i="6"/>
  <c r="H31" i="6"/>
  <c r="G83" i="6"/>
  <c r="H83" i="6"/>
  <c r="H74" i="23"/>
  <c r="G74" i="23"/>
  <c r="H82" i="6"/>
  <c r="G82" i="6"/>
  <c r="G96" i="23"/>
  <c r="H96" i="23"/>
  <c r="H90" i="23"/>
  <c r="H68" i="23"/>
  <c r="H36" i="6"/>
  <c r="G36" i="6"/>
  <c r="H76" i="6"/>
  <c r="G70" i="2" l="1"/>
  <c r="H70" i="2" s="1"/>
  <c r="H99" i="2"/>
  <c r="H79" i="12"/>
  <c r="G116" i="2"/>
  <c r="H102" i="2"/>
  <c r="G95" i="12"/>
  <c r="G96" i="12" s="1"/>
  <c r="H96" i="12" s="1"/>
  <c r="H98" i="2"/>
  <c r="H115" i="2"/>
  <c r="H97" i="2"/>
  <c r="H116" i="12"/>
  <c r="H77" i="12"/>
  <c r="H102" i="12"/>
  <c r="H80" i="12"/>
  <c r="H103" i="12"/>
  <c r="H94" i="12"/>
  <c r="H98" i="12"/>
  <c r="H100" i="2"/>
  <c r="H78" i="12"/>
  <c r="H99" i="12"/>
  <c r="G68" i="12"/>
  <c r="H68" i="12" s="1"/>
  <c r="H91" i="24"/>
  <c r="G103" i="24"/>
  <c r="G104" i="24" s="1"/>
  <c r="H81" i="12"/>
  <c r="H101" i="12"/>
  <c r="H100" i="12"/>
  <c r="H124" i="12"/>
  <c r="H123" i="12"/>
  <c r="H127" i="12"/>
  <c r="H127" i="2"/>
  <c r="H126" i="2"/>
  <c r="H130" i="2"/>
  <c r="G118" i="12"/>
  <c r="H118" i="12" s="1"/>
  <c r="H117" i="12"/>
  <c r="G117" i="2"/>
  <c r="H117" i="2" s="1"/>
  <c r="H116" i="2"/>
  <c r="H81" i="2"/>
  <c r="H80" i="2"/>
  <c r="H79" i="2"/>
  <c r="G95" i="2"/>
  <c r="H78" i="2"/>
  <c r="H94" i="2"/>
  <c r="H77" i="2"/>
  <c r="H69" i="10"/>
  <c r="H67" i="10"/>
  <c r="G83" i="10"/>
  <c r="H66" i="10"/>
  <c r="H82" i="10"/>
  <c r="H65" i="10"/>
  <c r="H68" i="10"/>
  <c r="H53" i="10"/>
  <c r="G54" i="10"/>
  <c r="H135" i="2"/>
  <c r="H134" i="2"/>
  <c r="H133" i="2"/>
  <c r="H138" i="2"/>
  <c r="H103" i="10"/>
  <c r="H86" i="10"/>
  <c r="H85" i="10"/>
  <c r="H88" i="10"/>
  <c r="H90" i="10"/>
  <c r="H89" i="10"/>
  <c r="G104" i="10"/>
  <c r="H87" i="10"/>
  <c r="H121" i="10"/>
  <c r="H120" i="10"/>
  <c r="H119" i="10"/>
  <c r="H124" i="10"/>
  <c r="H132" i="12"/>
  <c r="H131" i="12"/>
  <c r="H130" i="12"/>
  <c r="H135" i="12"/>
  <c r="H113" i="10"/>
  <c r="H112" i="10"/>
  <c r="H116" i="10"/>
  <c r="G56" i="24"/>
  <c r="G57" i="24" s="1"/>
  <c r="H57" i="24" s="1"/>
  <c r="G81" i="24"/>
  <c r="G82" i="24" s="1"/>
  <c r="H115" i="24"/>
  <c r="G115" i="24"/>
  <c r="G116" i="24" s="1"/>
  <c r="H69" i="24"/>
  <c r="H123" i="24"/>
  <c r="G123" i="24"/>
  <c r="G124" i="24" s="1"/>
  <c r="G114" i="23"/>
  <c r="G115" i="23" s="1"/>
  <c r="G80" i="23"/>
  <c r="H66" i="23" s="1"/>
  <c r="G102" i="23"/>
  <c r="H87" i="23" s="1"/>
  <c r="G122" i="23"/>
  <c r="G123" i="23" s="1"/>
  <c r="H120" i="23" s="1"/>
  <c r="H84" i="6"/>
  <c r="H76" i="23"/>
  <c r="G129" i="6"/>
  <c r="G130" i="6" s="1"/>
  <c r="H126" i="6" s="1"/>
  <c r="G121" i="6"/>
  <c r="G122" i="6" s="1"/>
  <c r="H122" i="6" s="1"/>
  <c r="H105" i="6"/>
  <c r="G88" i="6"/>
  <c r="H74" i="6" s="1"/>
  <c r="H72" i="23"/>
  <c r="G109" i="6"/>
  <c r="H109" i="6" s="1"/>
  <c r="G55" i="23"/>
  <c r="H54" i="23"/>
  <c r="H30" i="6"/>
  <c r="G63" i="6"/>
  <c r="G64" i="6" s="1"/>
  <c r="H94" i="23"/>
  <c r="H101" i="6"/>
  <c r="H80" i="6"/>
  <c r="H112" i="23"/>
  <c r="H111" i="23"/>
  <c r="H115" i="23"/>
  <c r="G71" i="2" l="1"/>
  <c r="H71" i="2" s="1"/>
  <c r="H95" i="12"/>
  <c r="H75" i="12" s="1"/>
  <c r="G69" i="12"/>
  <c r="H69" i="12" s="1"/>
  <c r="H89" i="24"/>
  <c r="H90" i="24"/>
  <c r="H86" i="24"/>
  <c r="H103" i="24"/>
  <c r="H88" i="24"/>
  <c r="H85" i="24"/>
  <c r="H87" i="24"/>
  <c r="H81" i="24"/>
  <c r="H56" i="24"/>
  <c r="H64" i="24"/>
  <c r="H68" i="24"/>
  <c r="H66" i="24"/>
  <c r="H65" i="24"/>
  <c r="H67" i="24"/>
  <c r="H83" i="10"/>
  <c r="G84" i="10"/>
  <c r="H84" i="10" s="1"/>
  <c r="H124" i="2"/>
  <c r="H131" i="2"/>
  <c r="H118" i="10"/>
  <c r="H132" i="2"/>
  <c r="H110" i="10"/>
  <c r="H117" i="10"/>
  <c r="H54" i="10"/>
  <c r="G55" i="10"/>
  <c r="H55" i="10" s="1"/>
  <c r="G96" i="2"/>
  <c r="H96" i="2" s="1"/>
  <c r="H95" i="2"/>
  <c r="H104" i="10"/>
  <c r="G105" i="10"/>
  <c r="H105" i="10" s="1"/>
  <c r="H121" i="12"/>
  <c r="H128" i="12"/>
  <c r="H129" i="12"/>
  <c r="H124" i="24"/>
  <c r="H119" i="24"/>
  <c r="H121" i="24"/>
  <c r="H120" i="24"/>
  <c r="G105" i="24"/>
  <c r="H105" i="24" s="1"/>
  <c r="H104" i="24"/>
  <c r="H113" i="24"/>
  <c r="H116" i="24"/>
  <c r="H112" i="24"/>
  <c r="G83" i="24"/>
  <c r="H83" i="24" s="1"/>
  <c r="H82" i="24"/>
  <c r="H64" i="23"/>
  <c r="H80" i="23"/>
  <c r="G81" i="23"/>
  <c r="H81" i="23" s="1"/>
  <c r="H65" i="23"/>
  <c r="H123" i="23"/>
  <c r="H118" i="23"/>
  <c r="H67" i="23"/>
  <c r="H119" i="23"/>
  <c r="H89" i="23"/>
  <c r="H84" i="23"/>
  <c r="H85" i="23"/>
  <c r="H88" i="23"/>
  <c r="H102" i="23"/>
  <c r="H86" i="23"/>
  <c r="H130" i="6"/>
  <c r="H127" i="6"/>
  <c r="H125" i="6"/>
  <c r="G103" i="23"/>
  <c r="H103" i="23" s="1"/>
  <c r="H63" i="23"/>
  <c r="H73" i="6"/>
  <c r="H119" i="6"/>
  <c r="H72" i="6"/>
  <c r="G89" i="6"/>
  <c r="G90" i="6" s="1"/>
  <c r="H90" i="6" s="1"/>
  <c r="H118" i="6"/>
  <c r="H88" i="6"/>
  <c r="H75" i="6"/>
  <c r="H71" i="6"/>
  <c r="H63" i="6"/>
  <c r="G110" i="6"/>
  <c r="G82" i="23"/>
  <c r="H82" i="23" s="1"/>
  <c r="G56" i="23"/>
  <c r="H56" i="23" s="1"/>
  <c r="H55" i="23"/>
  <c r="H109" i="23"/>
  <c r="H116" i="23"/>
  <c r="H64" i="6"/>
  <c r="G65" i="6"/>
  <c r="H65" i="6" s="1"/>
  <c r="H63" i="10" l="1"/>
  <c r="H75" i="2"/>
  <c r="H118" i="24"/>
  <c r="H62" i="24"/>
  <c r="H117" i="24"/>
  <c r="H110" i="24"/>
  <c r="G104" i="23"/>
  <c r="H104" i="23" s="1"/>
  <c r="H61" i="23" s="1"/>
  <c r="H116" i="6"/>
  <c r="H89" i="6"/>
  <c r="H123" i="6"/>
  <c r="H96" i="6"/>
  <c r="H95" i="6"/>
  <c r="G111" i="6"/>
  <c r="H111" i="6" s="1"/>
  <c r="H92" i="6"/>
  <c r="H110" i="6"/>
  <c r="H93" i="6"/>
  <c r="H94" i="6"/>
  <c r="H69" i="6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Lenovo</author>
  </authors>
  <commentList>
    <comment ref="A82" authorId="0" shapeId="0" xr:uid="{26E63C3E-017B-4108-B71A-9C75517FC067}">
      <text>
        <r>
          <rPr>
            <b/>
            <sz val="9"/>
            <color indexed="81"/>
            <rFont val="Segoe UI"/>
            <family val="2"/>
          </rPr>
          <t>Lenovo: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Lenovo</author>
  </authors>
  <commentList>
    <comment ref="A94" authorId="0" shapeId="0" xr:uid="{7329C7E7-DDEB-45AD-9B62-1932466DF265}">
      <text>
        <r>
          <rPr>
            <b/>
            <sz val="9"/>
            <color indexed="81"/>
            <rFont val="Segoe UI"/>
            <family val="2"/>
          </rPr>
          <t>Lenovo: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Lenovo</author>
  </authors>
  <commentList>
    <comment ref="A104" authorId="0" shapeId="0" xr:uid="{6E694E34-3027-4123-889A-713466F541E7}">
      <text>
        <r>
          <rPr>
            <b/>
            <sz val="9"/>
            <color indexed="81"/>
            <rFont val="Segoe UI"/>
            <family val="2"/>
          </rPr>
          <t>Lenovo: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Dell</author>
    <author>Lenovo</author>
  </authors>
  <commentList>
    <comment ref="E57" authorId="0" shapeId="0" xr:uid="{F78EFD77-708C-4ADC-869D-026DDF4D6EB0}">
      <text>
        <r>
          <rPr>
            <b/>
            <sz val="9"/>
            <color indexed="81"/>
            <rFont val="Tahoma"/>
            <family val="2"/>
          </rPr>
          <t>daca se doreste izolatie de 29mm se completeaza cu valorea din casuta E55 de la izolatia de 14mm si in locul aceleia se pune 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58" authorId="0" shapeId="0" xr:uid="{219E5A88-F3A1-4697-AFFF-0FC92CEFBAAE}">
      <text>
        <r>
          <rPr>
            <b/>
            <sz val="9"/>
            <color indexed="81"/>
            <rFont val="Tahoma"/>
            <family val="2"/>
          </rPr>
          <t>daca se doreste izolatie de 29mm se completeaza cu valorea din casuta E56 de la izolatia de 14mm si in locul aceleia se pune 0a</t>
        </r>
      </text>
    </comment>
    <comment ref="A104" authorId="1" shapeId="0" xr:uid="{01B28888-4718-4483-86FF-798717CFC740}">
      <text>
        <r>
          <rPr>
            <b/>
            <sz val="9"/>
            <color indexed="81"/>
            <rFont val="Segoe UI"/>
            <family val="2"/>
          </rPr>
          <t>Lenovo: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Dell</author>
    <author>Lenovo</author>
  </authors>
  <commentList>
    <comment ref="E59" authorId="0" shapeId="0" xr:uid="{60287150-D798-4CEA-B800-C74A3284C284}">
      <text>
        <r>
          <rPr>
            <b/>
            <sz val="9"/>
            <color indexed="81"/>
            <rFont val="Tahoma"/>
            <family val="2"/>
          </rPr>
          <t>daca se doreste izolatie de 29mm se completeaza cu valorea din casuta E55 de la izolatia de 14mm si in locul aceleia se pune 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60" authorId="0" shapeId="0" xr:uid="{C110A959-0794-4445-8BDB-7A5461C13722}">
      <text>
        <r>
          <rPr>
            <b/>
            <sz val="9"/>
            <color indexed="81"/>
            <rFont val="Tahoma"/>
            <family val="2"/>
          </rPr>
          <t>daca se doreste izolatie de 29mm se completeaza cu valorea din casuta E56 de la izolatia de 14mm si in locul aceleia se pune 0</t>
        </r>
      </text>
    </comment>
    <comment ref="A106" authorId="1" shapeId="0" xr:uid="{45360D46-F4CE-4509-B576-468CFD3FBF3B}">
      <text>
        <r>
          <rPr>
            <b/>
            <sz val="9"/>
            <color indexed="81"/>
            <rFont val="Segoe UI"/>
            <family val="2"/>
          </rPr>
          <t>Lenovo: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Dell</author>
  </authors>
  <commentList>
    <comment ref="L26" authorId="0" shapeId="0" xr:uid="{DA57273E-3DC9-4588-AB84-0A9E08C74021}">
      <text>
        <r>
          <rPr>
            <b/>
            <sz val="9"/>
            <color indexed="81"/>
            <rFont val="Tahoma"/>
            <family val="2"/>
          </rPr>
          <t xml:space="preserve">Daca se doreste montaj cu izolatie  - in casuta se pune X iar daca se doreste fara izolatie  (ofertare curenta) casuta se lasa goala. 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Lenovo</author>
  </authors>
  <commentList>
    <comment ref="A81" authorId="0" shapeId="0" xr:uid="{FFB1B7FA-B51B-483B-BBE4-103249E0A2E0}">
      <text>
        <r>
          <rPr>
            <b/>
            <sz val="9"/>
            <color indexed="81"/>
            <rFont val="Segoe UI"/>
            <family val="2"/>
          </rPr>
          <t>Lenovo: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Lenovo</author>
  </authors>
  <commentList>
    <comment ref="A101" authorId="0" shapeId="0" xr:uid="{F452B3E5-FF58-469D-8EEC-B1AC29965FF8}">
      <text>
        <r>
          <rPr>
            <b/>
            <sz val="9"/>
            <color indexed="81"/>
            <rFont val="Segoe UI"/>
            <family val="2"/>
          </rPr>
          <t>Lenovo: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<sst xmlns="http://schemas.openxmlformats.org/spreadsheetml/2006/main" count="4964" uniqueCount="599">
  <si>
    <t>Buna ziua,</t>
  </si>
  <si>
    <t xml:space="preserve">Nr. </t>
  </si>
  <si>
    <t>Crt.</t>
  </si>
  <si>
    <t>Cod</t>
  </si>
  <si>
    <t>Descriere</t>
  </si>
  <si>
    <t>UM</t>
  </si>
  <si>
    <t>Cant.</t>
  </si>
  <si>
    <t>Pret unitar</t>
  </si>
  <si>
    <t>[EUR fara TVA]</t>
  </si>
  <si>
    <t>Pret total</t>
  </si>
  <si>
    <t>W63010</t>
  </si>
  <si>
    <t>buc.</t>
  </si>
  <si>
    <t>W61012</t>
  </si>
  <si>
    <t>set</t>
  </si>
  <si>
    <t>rola</t>
  </si>
  <si>
    <t>W90100</t>
  </si>
  <si>
    <t>Accesorii</t>
  </si>
  <si>
    <t>W12100</t>
  </si>
  <si>
    <t>Teava  incalzire PE-RT cu bariera de oxigen, 12x1,3 mm/100m</t>
  </si>
  <si>
    <t>W12300</t>
  </si>
  <si>
    <t>Teava  incalzire PE-RT cu bariera de oxigen, 12x1,3 mm/300m</t>
  </si>
  <si>
    <t>W32007</t>
  </si>
  <si>
    <t>W32006</t>
  </si>
  <si>
    <t>W32005</t>
  </si>
  <si>
    <t>W90012</t>
  </si>
  <si>
    <t>TOTAL OFERTA [EUR fara TVA]</t>
  </si>
  <si>
    <t>Varianta 1 – automatizare Magnum cu fir comanda smartphone/tableta</t>
  </si>
  <si>
    <t xml:space="preserve">PARTER </t>
  </si>
  <si>
    <t>W81000</t>
  </si>
  <si>
    <t>W80003</t>
  </si>
  <si>
    <t>Actuator, 230 V/NC - 2 fire</t>
  </si>
  <si>
    <t>W81003</t>
  </si>
  <si>
    <t xml:space="preserve">MANSARDA </t>
  </si>
  <si>
    <t>SC Magnum Heating SRL</t>
  </si>
  <si>
    <t xml:space="preserve">www.magnumheating.ro </t>
  </si>
  <si>
    <t>W32002</t>
  </si>
  <si>
    <t>W32003</t>
  </si>
  <si>
    <t>W32004</t>
  </si>
  <si>
    <t>W32008</t>
  </si>
  <si>
    <t>W32009</t>
  </si>
  <si>
    <t>W32010</t>
  </si>
  <si>
    <t>W32011</t>
  </si>
  <si>
    <t>W32012</t>
  </si>
  <si>
    <t>W32013</t>
  </si>
  <si>
    <t>W32014</t>
  </si>
  <si>
    <t>W32015</t>
  </si>
  <si>
    <t>W40001</t>
  </si>
  <si>
    <t>W40002</t>
  </si>
  <si>
    <t>W40003</t>
  </si>
  <si>
    <t>W40004</t>
  </si>
  <si>
    <t>W40005</t>
  </si>
  <si>
    <t>W40006</t>
  </si>
  <si>
    <t>W40007</t>
  </si>
  <si>
    <t>W40008</t>
  </si>
  <si>
    <t>W40009</t>
  </si>
  <si>
    <t>W40010</t>
  </si>
  <si>
    <r>
      <t>Garantie</t>
    </r>
    <r>
      <rPr>
        <sz val="9"/>
        <color theme="1"/>
        <rFont val="Verdana"/>
        <family val="2"/>
      </rPr>
      <t>: 2 ani materiale instalatii, 50 ani teava, din care 10 ani cu companie asigurari, 2 ani automatizare.</t>
    </r>
  </si>
  <si>
    <r>
      <t>Livrare</t>
    </r>
    <r>
      <rPr>
        <sz val="9"/>
        <color theme="1"/>
        <rFont val="Verdana"/>
        <family val="2"/>
      </rPr>
      <t xml:space="preserve"> din stoc. Reperele care nu sunt pe stoc, se vor livra in maxim 10 zile lucratoare de la data comenzii.</t>
    </r>
  </si>
  <si>
    <t>W90014</t>
  </si>
  <si>
    <t>W14120</t>
  </si>
  <si>
    <t xml:space="preserve">W90102  </t>
  </si>
  <si>
    <t>W10080</t>
  </si>
  <si>
    <t>W10240</t>
  </si>
  <si>
    <t>Teava  incalzire PE-RT cu bariera de oxigen, 10x1,3 mm/80m</t>
  </si>
  <si>
    <t>W14240</t>
  </si>
  <si>
    <t>W14600</t>
  </si>
  <si>
    <t>Teava  incalzire PE-RT cu bariera de oxigen, 14x2 mm/120m</t>
  </si>
  <si>
    <t>Teava  incalzire PE-RT cu bariera de oxigen, 14x2 mm/240m</t>
  </si>
  <si>
    <t>Teava  incalzire PE-RT cu bariera de oxigen, 14x2 mm/600m</t>
  </si>
  <si>
    <t>W16120</t>
  </si>
  <si>
    <t>W16240</t>
  </si>
  <si>
    <t>W16600</t>
  </si>
  <si>
    <t>Teava  incalzire PE-RT cu bariera de oxigen, 16x2 mm/120m</t>
  </si>
  <si>
    <t>Teava  incalzire PE-RT cu bariera de oxigen, 16x2 mm/240m</t>
  </si>
  <si>
    <t>Teava  incalzire PE-RT cu bariera de oxigen, 16x2 mm/600m</t>
  </si>
  <si>
    <t>Teava  incalzire PE-RT cu bariera de oxigen, 10x1,3 mm/240m</t>
  </si>
  <si>
    <t>W90105</t>
  </si>
  <si>
    <t xml:space="preserve">Suport curbare tevi 90 grd, 14 - 17 mm// 2 buc./set </t>
  </si>
  <si>
    <t>W90113</t>
  </si>
  <si>
    <t>W62901</t>
  </si>
  <si>
    <r>
      <t xml:space="preserve">Izolatie sistem uscat cu folie aluminiu Magnum Heatboard </t>
    </r>
    <r>
      <rPr>
        <b/>
        <sz val="9"/>
        <color theme="1"/>
        <rFont val="Verdana"/>
        <family val="2"/>
      </rPr>
      <t>18 mm/4,8 mp</t>
    </r>
    <r>
      <rPr>
        <sz val="9"/>
        <color theme="1"/>
        <rFont val="Verdana"/>
        <family val="2"/>
      </rPr>
      <t xml:space="preserve"> (13 buc./pachet)</t>
    </r>
  </si>
  <si>
    <r>
      <t>Folie reflectorizanta aluminiu, 20 m x 1,5 m (</t>
    </r>
    <r>
      <rPr>
        <b/>
        <sz val="9"/>
        <color theme="1"/>
        <rFont val="Verdana"/>
        <family val="2"/>
      </rPr>
      <t>30 mp</t>
    </r>
    <r>
      <rPr>
        <sz val="9"/>
        <color theme="1"/>
        <rFont val="Verdana"/>
        <family val="2"/>
      </rPr>
      <t xml:space="preserve">) (Nu este inclus  polistirenul extrudat pentru pardoseala)  </t>
    </r>
  </si>
  <si>
    <t>Email:</t>
  </si>
  <si>
    <t>x</t>
  </si>
  <si>
    <t>W90010</t>
  </si>
  <si>
    <t xml:space="preserve">     </t>
  </si>
  <si>
    <t>W90016</t>
  </si>
  <si>
    <t>W61024</t>
  </si>
  <si>
    <t>W62075</t>
  </si>
  <si>
    <t>Kit conexiune Push-Fit 10mm (1 x SlimFit System)/2buc</t>
  </si>
  <si>
    <t>Kit conexiune Push-Fit 12mm (1 x SlimFit System)/2buc</t>
  </si>
  <si>
    <t>Telefon:</t>
  </si>
  <si>
    <t>mp</t>
  </si>
  <si>
    <r>
      <t>Valabilitate oferta</t>
    </r>
    <r>
      <rPr>
        <sz val="9"/>
        <color theme="1"/>
        <rFont val="Verdana"/>
        <family val="2"/>
      </rPr>
      <t>: 30 zile</t>
    </r>
  </si>
  <si>
    <t>Profil Omega aluminiu (DBS14), 1000 mm x 120mm x 0,4mm) - pentru teava de 14mm</t>
  </si>
  <si>
    <r>
      <t xml:space="preserve">Izolatie sistem uscat MAGNUM (DBS14) </t>
    </r>
    <r>
      <rPr>
        <b/>
        <sz val="9"/>
        <color theme="1"/>
        <rFont val="Verdana"/>
        <family val="2"/>
      </rPr>
      <t>25 mm, 7,5mp</t>
    </r>
    <r>
      <rPr>
        <sz val="9"/>
        <color theme="1"/>
        <rFont val="Verdana"/>
        <family val="2"/>
      </rPr>
      <t xml:space="preserve"> (1000 x 750 x 25)mm,(10 buc./pachet)</t>
    </r>
  </si>
  <si>
    <r>
      <t xml:space="preserve">Sistem fixare Magnum Slimfit </t>
    </r>
    <r>
      <rPr>
        <b/>
        <sz val="9"/>
        <color theme="1"/>
        <rFont val="Verdana"/>
        <family val="2"/>
      </rPr>
      <t>10mm / 2,4  mp</t>
    </r>
    <r>
      <rPr>
        <sz val="9"/>
        <color theme="1"/>
        <rFont val="Verdana"/>
        <family val="2"/>
      </rPr>
      <t xml:space="preserve"> (80 x 60 x 1,2) cm, (5 buc./pachet)</t>
    </r>
  </si>
  <si>
    <r>
      <t xml:space="preserve">Sistem fixare Magnum Slimfit </t>
    </r>
    <r>
      <rPr>
        <b/>
        <sz val="9"/>
        <color theme="1"/>
        <rFont val="Verdana"/>
        <family val="2"/>
      </rPr>
      <t>12mm / 3,75 mp</t>
    </r>
    <r>
      <rPr>
        <sz val="9"/>
        <color theme="1"/>
        <rFont val="Verdana"/>
        <family val="2"/>
      </rPr>
      <t xml:space="preserve"> (100 x 75 x 1,4)cm, (5 buc./pachet)</t>
    </r>
  </si>
  <si>
    <r>
      <t xml:space="preserve">Izolatie Magnum Isoplate </t>
    </r>
    <r>
      <rPr>
        <b/>
        <sz val="9"/>
        <color theme="1"/>
        <rFont val="Verdana"/>
        <family val="2"/>
      </rPr>
      <t xml:space="preserve">4,8 mp </t>
    </r>
    <r>
      <rPr>
        <sz val="9"/>
        <color theme="1"/>
        <rFont val="Verdana"/>
        <family val="2"/>
      </rPr>
      <t>(60x100x0,6)cm (8buc./pachet)</t>
    </r>
    <r>
      <rPr>
        <b/>
        <sz val="9"/>
        <color theme="1"/>
        <rFont val="Verdana"/>
        <family val="2"/>
      </rPr>
      <t xml:space="preserve"> - optional</t>
    </r>
  </si>
  <si>
    <r>
      <t xml:space="preserve">Izolatie Magnum Isoplate </t>
    </r>
    <r>
      <rPr>
        <b/>
        <sz val="9"/>
        <color theme="1"/>
        <rFont val="Verdana"/>
        <family val="2"/>
      </rPr>
      <t>3 mp</t>
    </r>
    <r>
      <rPr>
        <sz val="9"/>
        <color theme="1"/>
        <rFont val="Verdana"/>
        <family val="2"/>
      </rPr>
      <t xml:space="preserve">(60x100x1)cm (5buc./pachet) - </t>
    </r>
    <r>
      <rPr>
        <b/>
        <sz val="9"/>
        <color theme="1"/>
        <rFont val="Verdana"/>
        <family val="2"/>
      </rPr>
      <t>optional</t>
    </r>
    <r>
      <rPr>
        <sz val="9"/>
        <color theme="1"/>
        <rFont val="Verdana"/>
        <family val="2"/>
      </rPr>
      <t xml:space="preserve"> pentru gresie</t>
    </r>
  </si>
  <si>
    <t>Izolatie Isorol 3 mm, 25 m x 1 m (25 mp) cu folie aluminiu</t>
  </si>
  <si>
    <t>W90101</t>
  </si>
  <si>
    <r>
      <t>Folie reflectorizanta aluminiu, 50 m x 1,5 m (</t>
    </r>
    <r>
      <rPr>
        <b/>
        <sz val="9"/>
        <color theme="1"/>
        <rFont val="Verdana"/>
        <family val="2"/>
      </rPr>
      <t>75 mp</t>
    </r>
    <r>
      <rPr>
        <sz val="9"/>
        <color theme="1"/>
        <rFont val="Verdana"/>
        <family val="2"/>
      </rPr>
      <t xml:space="preserve">) (Nu este inclus  polistirenul extrudat pentru pardoseala)  </t>
    </r>
  </si>
  <si>
    <t>W91113</t>
  </si>
  <si>
    <t>Placa izolatie Tacker IZOROL "L" Pack  EPS 100/    25 mm</t>
  </si>
  <si>
    <t>W90114</t>
  </si>
  <si>
    <t>Clipsuri Tacker SR 35 mm (600buc/set) placa Tacker IZOROL SR 10 si 15mm</t>
  </si>
  <si>
    <t>W90109</t>
  </si>
  <si>
    <t>W90112</t>
  </si>
  <si>
    <t>W91111</t>
  </si>
  <si>
    <t>Banda perimetrala 15 cm x 8 mm cu adeziv (25 m)</t>
  </si>
  <si>
    <t>W90115</t>
  </si>
  <si>
    <t>W90107</t>
  </si>
  <si>
    <t>W90117</t>
  </si>
  <si>
    <t xml:space="preserve">Dispozitiv Tacker SR </t>
  </si>
  <si>
    <t>W91901</t>
  </si>
  <si>
    <t>Profil de dilatare 2 m</t>
  </si>
  <si>
    <t xml:space="preserve">Aditiv pentru sapa (10 kg) </t>
  </si>
  <si>
    <t xml:space="preserve">Distribuitor/colector premium din otel inoxidabil cu 2 intrari/iesiri, echipat cu robinete sfera 1", valve integrate, debitmetre reglabile 0-2,5l/min, aerisitor automat, manometru si kit de montaj </t>
  </si>
  <si>
    <t xml:space="preserve">Distribuitor/colector premium din otel inoxidabil cu 3 intrari/iesiri, echipat cu robinete sfera 1", valve integrate, debitmetre reglabile 0-2,5l/min, aerisitor automat, manometru si kit de montaj </t>
  </si>
  <si>
    <t xml:space="preserve">Distribuitor/colector premium din otel inoxidabil cu 4 intrari/iesiri, echipat cu robinete sfera 1", valve integrate, debitmetre reglabile 0-2,5l/min, aerisitor automat, manometru si kit de montaj </t>
  </si>
  <si>
    <t xml:space="preserve">Distribuitor/colector premium din otel inoxidabil cu 5 intrari/iesiri, echipat cu robinete sfera 1", valve integrate, debitmetre reglabile 0-2,5l/min, aerisitor automat, manometru si kit de montaj </t>
  </si>
  <si>
    <t xml:space="preserve">Distribuitor/colector premium din otel inoxidabil cu 10 intrari/iesiri, echipat cu robinete sfera 1", valve integrate, debitmetre reglabile 0-2,5l/min, aerisitor automat, manometru si kit de montaj </t>
  </si>
  <si>
    <t xml:space="preserve">Distribuitor/colector premium din otel inoxidabil cu 11 intrari/iesiri, echipat cu robinete sfera 1", valve integrate, debitmetre reglabile 0-2,5l/min, aerisitor automat, manometru si kit de montaj </t>
  </si>
  <si>
    <t xml:space="preserve">Distribuitor/colector premium din otel inoxidabil cu 12 intrari/iesiri, echipat cu robinete sfera 1", valve integrate, debitmetre reglabile 0-2,5l/min, aerisitor automat, manometru si kit de montaj </t>
  </si>
  <si>
    <t xml:space="preserve">Distribuitor/colector premium din otel inoxidabil cu 13 intrari/iesiri, echipat cu robinete sfera 1", valve integrate, debitmetre reglabile 0-2,5l/min, aerisitor automat, manometru si kit de montaj </t>
  </si>
  <si>
    <t xml:space="preserve">Distribuitor/colector premium din otel inoxidabil cu 14 intrari/iesiri, echipat cu robinete sfera 1", valve integrate, debitmetre reglabile 0-2,5l/min, aerisitor automat, manometru si kit de montaj </t>
  </si>
  <si>
    <t xml:space="preserve">Distribuitor/colector premium din otel inoxidabil cu 15 intrari/iesiri, echipat cu robinete sfera 1", valve integrate, debitmetre reglabile 0-2,5l/min, aerisitor automat, manometru si kit de montaj </t>
  </si>
  <si>
    <t>W90002</t>
  </si>
  <si>
    <t>W20435</t>
  </si>
  <si>
    <t>W21035</t>
  </si>
  <si>
    <t>W21135</t>
  </si>
  <si>
    <t>W61027</t>
  </si>
  <si>
    <t>Magnum Spray 500ml, fixare suport SlimFit</t>
  </si>
  <si>
    <t>w90103</t>
  </si>
  <si>
    <t>Izolatie Tacker(placi) IZOROL SR EPS 200 / 10mm</t>
  </si>
  <si>
    <t>Conector eurocon 10x1,3 mm/ 2 buc./set</t>
  </si>
  <si>
    <t>Conector eurocon 12x1,3 mm/ 2 buc./set</t>
  </si>
  <si>
    <t>Conector eurocon 14x2 mm/2 buc./set</t>
  </si>
  <si>
    <t>Conector eurocon 16x2 mm/2 buc./set</t>
  </si>
  <si>
    <t>Materiale incalzire prin pardoseala</t>
  </si>
  <si>
    <t>https://www.magnumheating.com/</t>
  </si>
  <si>
    <t xml:space="preserve">Producator Magnum Heating Olanda: </t>
  </si>
  <si>
    <r>
      <t xml:space="preserve">TOTAL OFERTA cu REDUCERE [EUR </t>
    </r>
    <r>
      <rPr>
        <b/>
        <sz val="9"/>
        <color rgb="FFFF0000"/>
        <rFont val="Verdana"/>
        <family val="2"/>
      </rPr>
      <t>CU</t>
    </r>
    <r>
      <rPr>
        <b/>
        <sz val="9"/>
        <color rgb="FF000000"/>
        <rFont val="Verdana"/>
        <family val="2"/>
      </rPr>
      <t xml:space="preserve"> TVA]</t>
    </r>
  </si>
  <si>
    <t>Supraf. camera
[mp]</t>
  </si>
  <si>
    <t>Evaluare teava
[mp]</t>
  </si>
  <si>
    <t>living</t>
  </si>
  <si>
    <t>dining</t>
  </si>
  <si>
    <t>liv.+dining</t>
  </si>
  <si>
    <t>bucatarie</t>
  </si>
  <si>
    <t>hol</t>
  </si>
  <si>
    <t>antreu</t>
  </si>
  <si>
    <t>baie</t>
  </si>
  <si>
    <t>hol+scara</t>
  </si>
  <si>
    <t>dormitor</t>
  </si>
  <si>
    <t>birou</t>
  </si>
  <si>
    <r>
      <t xml:space="preserve"> TOTAL OFERTA cu</t>
    </r>
    <r>
      <rPr>
        <b/>
        <sz val="9"/>
        <color rgb="FFFF0000"/>
        <rFont val="Verdana"/>
        <family val="2"/>
      </rPr>
      <t xml:space="preserve"> REDUCERE </t>
    </r>
    <r>
      <rPr>
        <b/>
        <sz val="9"/>
        <color rgb="FF000000"/>
        <rFont val="Verdana"/>
        <family val="2"/>
      </rPr>
      <t xml:space="preserve">pentru plata in avans [EUR </t>
    </r>
    <r>
      <rPr>
        <b/>
        <sz val="9"/>
        <color rgb="FFFF0000"/>
        <rFont val="Verdana"/>
        <family val="2"/>
      </rPr>
      <t>FARA</t>
    </r>
    <r>
      <rPr>
        <b/>
        <sz val="9"/>
        <color rgb="FF000000"/>
        <rFont val="Verdana"/>
        <family val="2"/>
      </rPr>
      <t xml:space="preserve"> TVA]</t>
    </r>
  </si>
  <si>
    <r>
      <t xml:space="preserve"> TOTAL OFERTA cu </t>
    </r>
    <r>
      <rPr>
        <b/>
        <sz val="9"/>
        <color rgb="FFFF0000"/>
        <rFont val="Verdana"/>
        <family val="2"/>
      </rPr>
      <t>REDUCERE</t>
    </r>
    <r>
      <rPr>
        <b/>
        <sz val="9"/>
        <color rgb="FF000000"/>
        <rFont val="Verdana"/>
        <family val="2"/>
      </rPr>
      <t xml:space="preserve"> pentru plata in avans [EUR </t>
    </r>
    <r>
      <rPr>
        <b/>
        <sz val="9"/>
        <color rgb="FFFF0000"/>
        <rFont val="Verdana"/>
        <family val="2"/>
      </rPr>
      <t>FARA</t>
    </r>
    <r>
      <rPr>
        <b/>
        <sz val="9"/>
        <color rgb="FF000000"/>
        <rFont val="Verdana"/>
        <family val="2"/>
      </rPr>
      <t xml:space="preserve"> TVA]</t>
    </r>
  </si>
  <si>
    <t>Evaluare teava
[ml]</t>
  </si>
  <si>
    <t>casa scarii</t>
  </si>
  <si>
    <t xml:space="preserve">TOTAL </t>
  </si>
  <si>
    <t>Dispozitiv derulare teava - achitare/returnare</t>
  </si>
  <si>
    <r>
      <t xml:space="preserve">Placa cu nuturi cu izolatie EPS 150/22mm, 1200x600 mm, </t>
    </r>
    <r>
      <rPr>
        <b/>
        <sz val="9"/>
        <color theme="1"/>
        <rFont val="Verdana"/>
        <family val="2"/>
      </rPr>
      <t>8,64 mp</t>
    </r>
    <r>
      <rPr>
        <sz val="9"/>
        <color theme="1"/>
        <rFont val="Verdana"/>
        <family val="2"/>
      </rPr>
      <t xml:space="preserve"> </t>
    </r>
    <r>
      <rPr>
        <b/>
        <sz val="9"/>
        <color theme="1"/>
        <rFont val="Verdana"/>
        <family val="2"/>
      </rPr>
      <t>/ bax</t>
    </r>
  </si>
  <si>
    <r>
      <t>Clipsuri fixare teava 40mm(</t>
    </r>
    <r>
      <rPr>
        <b/>
        <sz val="9"/>
        <color theme="1"/>
        <rFont val="Verdana"/>
        <family val="2"/>
      </rPr>
      <t>300buc/set</t>
    </r>
    <r>
      <rPr>
        <sz val="9"/>
        <color theme="1"/>
        <rFont val="Verdana"/>
        <family val="2"/>
      </rPr>
      <t>) - tacker</t>
    </r>
  </si>
  <si>
    <r>
      <t>Folie Tacker cu marcaj pe grila, 50 m x 1,5 m (</t>
    </r>
    <r>
      <rPr>
        <b/>
        <sz val="9"/>
        <color theme="1"/>
        <rFont val="Verdana"/>
        <family val="2"/>
      </rPr>
      <t>50 mp</t>
    </r>
    <r>
      <rPr>
        <sz val="9"/>
        <color theme="1"/>
        <rFont val="Verdana"/>
        <family val="2"/>
      </rPr>
      <t xml:space="preserve">)(nu este inclus  polistirenul extrudat pentru pardoseala)    </t>
    </r>
  </si>
  <si>
    <t>Dispozitiv Tacker  - achitare/returnare</t>
  </si>
  <si>
    <t>dressing</t>
  </si>
  <si>
    <t xml:space="preserve">Distribuitor/colector premium din otel inoxidabil cu 8 intrari/iesiri, echipat cu robinete sfera 1", valve integrate, debitmetre reglabile 0-2,5l/min, aerisitor automat, manometru si kit de montaj </t>
  </si>
  <si>
    <t xml:space="preserve">Catre: </t>
  </si>
  <si>
    <r>
      <t>Nota</t>
    </r>
    <r>
      <rPr>
        <sz val="9"/>
        <color theme="1"/>
        <rFont val="Verdana"/>
        <family val="2"/>
      </rPr>
      <t xml:space="preserve">: </t>
    </r>
  </si>
  <si>
    <t>1. In oferta nu sunt incluse:</t>
  </si>
  <si>
    <t>is</t>
  </si>
  <si>
    <t xml:space="preserve">Localitate: </t>
  </si>
  <si>
    <t xml:space="preserve">Distribuitor/colector premium din otel inoxidabil cu 9 intrari/iesiri, echipat cu robinete sfera 1", valve integrate, debitmetre reglabile 0-2,5l/min, aerisitor automat, manometru si kit de montaj </t>
  </si>
  <si>
    <r>
      <t>3. Oferta prezentata este estimativa si nu tine loc de proiect. Aceasta se poate modifica in functie de situatia reala sau in functie de calculul din proiect.</t>
    </r>
    <r>
      <rPr>
        <b/>
        <sz val="9"/>
        <color theme="1"/>
        <rFont val="Verdana"/>
        <family val="2"/>
      </rPr>
      <t xml:space="preserve"> </t>
    </r>
  </si>
  <si>
    <t xml:space="preserve">  </t>
  </si>
  <si>
    <t xml:space="preserve">In atentia: </t>
  </si>
  <si>
    <t xml:space="preserve"> - materialele pentru montaj coloane termice de alimentare (circuitul de la furnizorul de agent termic - centrala, cazan….etc) la distribuitor/colector.</t>
  </si>
  <si>
    <t>Varianta 2 - automatizare Magnum wireless comanda smartphone/tableta</t>
  </si>
  <si>
    <t>Kit conexiune Push-Fit 10mm (2 x SlimFit System)/2buc</t>
  </si>
  <si>
    <t>Kit conexiune Push-Fit 12mm (2 x SlimFit System)/2buc</t>
  </si>
  <si>
    <t>Kit conexiune Push-Fit 12mm (3 x SlimFit System)/2buc</t>
  </si>
  <si>
    <r>
      <t xml:space="preserve">Kit unitate principala de control 8 zone, 230 V, 868 MHz  + 1 buc cronotermostat master </t>
    </r>
    <r>
      <rPr>
        <b/>
        <sz val="9"/>
        <color theme="1"/>
        <rFont val="Verdana"/>
        <family val="2"/>
      </rPr>
      <t>H64</t>
    </r>
    <r>
      <rPr>
        <sz val="9"/>
        <color theme="1"/>
        <rFont val="Verdana"/>
        <family val="2"/>
      </rPr>
      <t xml:space="preserve"> cu fir  - inclus in kit</t>
    </r>
  </si>
  <si>
    <r>
      <t>Cronotermostat cu fir,</t>
    </r>
    <r>
      <rPr>
        <b/>
        <sz val="9"/>
        <color theme="1"/>
        <rFont val="Verdana"/>
        <family val="2"/>
      </rPr>
      <t xml:space="preserve"> H64</t>
    </r>
  </si>
  <si>
    <t xml:space="preserve"> </t>
  </si>
  <si>
    <t xml:space="preserve">   </t>
  </si>
  <si>
    <t>Nr. Circuite
SF</t>
  </si>
  <si>
    <t>HEATBOARD - PARCHET</t>
  </si>
  <si>
    <t>DRYFLOOR - PARCHET</t>
  </si>
  <si>
    <t>SLIMFIT - GRESIE/PARCHET</t>
  </si>
  <si>
    <t>debara</t>
  </si>
  <si>
    <t xml:space="preserve">
Termost.   I </t>
  </si>
  <si>
    <t>Suprf.
P+I</t>
  </si>
  <si>
    <t xml:space="preserve"> Total I
SF de
 ofertat
baxuri [buc]</t>
  </si>
  <si>
    <t>Circuite
 D/C
I</t>
  </si>
  <si>
    <t>Termost.
I 
de ofertat</t>
  </si>
  <si>
    <t>PARTER   P</t>
  </si>
  <si>
    <t>ETAJ    I</t>
  </si>
  <si>
    <t>HB P
evaluat
[buc]</t>
  </si>
  <si>
    <t xml:space="preserve"> HB P 
 ofertat
 [buc]</t>
  </si>
  <si>
    <t xml:space="preserve"> SF P 
 ofertat [buc]</t>
  </si>
  <si>
    <t>Suprf. P
[mp]</t>
  </si>
  <si>
    <t>HB I
evaluat
[buc]</t>
  </si>
  <si>
    <t xml:space="preserve"> HB I
 ofertat
 [buc]</t>
  </si>
  <si>
    <t>Termost.
P 
de ofertat</t>
  </si>
  <si>
    <t xml:space="preserve">Circuite D/C
P </t>
  </si>
  <si>
    <t xml:space="preserve"> Nr. Circuite
 HB</t>
  </si>
  <si>
    <t>Centraline
P
de ofertat</t>
  </si>
  <si>
    <t>Centraline
I
de ofertat</t>
  </si>
  <si>
    <t>Gateway
P+I
de ofertat</t>
  </si>
  <si>
    <t xml:space="preserve">
Actuat. 
 P </t>
  </si>
  <si>
    <t xml:space="preserve">
Actuat.  
I</t>
  </si>
  <si>
    <t>Teava
P
 de  ofertat
[ml]</t>
  </si>
  <si>
    <t xml:space="preserve"> SF
P+I de
 ofertat  [buc]</t>
  </si>
  <si>
    <t xml:space="preserve"> SF I ofertat [buc]</t>
  </si>
  <si>
    <t xml:space="preserve">Va multumim pentru cererea de oferta si va prezentam mai jos propunerea noastra pentru sistemul de incalzire prin </t>
  </si>
  <si>
    <r>
      <t xml:space="preserve">pardoseala </t>
    </r>
    <r>
      <rPr>
        <b/>
        <sz val="10"/>
        <color theme="1"/>
        <rFont val="Verdana"/>
        <family val="2"/>
      </rPr>
      <t xml:space="preserve">Magnum Heating - Olanda, </t>
    </r>
    <r>
      <rPr>
        <sz val="10"/>
        <color theme="1"/>
        <rFont val="Verdana"/>
        <family val="2"/>
      </rPr>
      <t>sistem</t>
    </r>
    <r>
      <rPr>
        <b/>
        <sz val="10"/>
        <color theme="1"/>
        <rFont val="Verdana"/>
        <family val="2"/>
      </rPr>
      <t xml:space="preserve"> SlimFit </t>
    </r>
    <r>
      <rPr>
        <sz val="10"/>
        <color theme="1"/>
        <rFont val="Verdana"/>
        <family val="2"/>
      </rPr>
      <t>pentru suprafata</t>
    </r>
    <r>
      <rPr>
        <b/>
        <sz val="10"/>
        <color theme="1"/>
        <rFont val="Verdana"/>
        <family val="2"/>
      </rPr>
      <t xml:space="preserve"> S =</t>
    </r>
  </si>
  <si>
    <t>mp.</t>
  </si>
  <si>
    <t>Sistem SlimFit - gresie, necesita sapa autonivelanta (min 15mm-max 25mm)</t>
  </si>
  <si>
    <r>
      <t xml:space="preserve">pardoseala </t>
    </r>
    <r>
      <rPr>
        <b/>
        <sz val="10"/>
        <color theme="1"/>
        <rFont val="Verdana"/>
        <family val="2"/>
      </rPr>
      <t xml:space="preserve">Magnum Heating - Olanda, </t>
    </r>
    <r>
      <rPr>
        <sz val="10"/>
        <color theme="1"/>
        <rFont val="Verdana"/>
        <family val="2"/>
      </rPr>
      <t>sistem</t>
    </r>
    <r>
      <rPr>
        <b/>
        <sz val="10"/>
        <color theme="1"/>
        <rFont val="Verdana"/>
        <family val="2"/>
      </rPr>
      <t xml:space="preserve"> HeatBoard </t>
    </r>
    <r>
      <rPr>
        <sz val="10"/>
        <color theme="1"/>
        <rFont val="Verdana"/>
        <family val="2"/>
      </rPr>
      <t>pt.suprafata</t>
    </r>
    <r>
      <rPr>
        <b/>
        <sz val="10"/>
        <color theme="1"/>
        <rFont val="Verdana"/>
        <family val="2"/>
      </rPr>
      <t xml:space="preserve"> S =</t>
    </r>
  </si>
  <si>
    <t>Sistem uscat HeatBoard  - parchet recomandat grosime 12-14mm</t>
  </si>
  <si>
    <t>camera</t>
  </si>
  <si>
    <t>Unde pune automat termostate</t>
  </si>
  <si>
    <t>Nr. Termost</t>
  </si>
  <si>
    <t>SF  I
evaluat
 [buc]</t>
  </si>
  <si>
    <t>Suprf.I
[mp]</t>
  </si>
  <si>
    <t>Nr. Circuite 
[buc]</t>
  </si>
  <si>
    <t xml:space="preserve"> Nr. Circuite
 [buc]</t>
  </si>
  <si>
    <t>Teava I
teava de  ofertat
[ml]</t>
  </si>
  <si>
    <t xml:space="preserve">
TermostI </t>
  </si>
  <si>
    <t>Aditiv 
de sapa
 [buc]</t>
  </si>
  <si>
    <t>W16090</t>
  </si>
  <si>
    <t>Teava  incalzire PE-RT cu bariera de oxigen, 16x2 mm/90m</t>
  </si>
  <si>
    <t>DF P
evaluat
[buc]</t>
  </si>
  <si>
    <t>DF I
evaluat
[buc]</t>
  </si>
  <si>
    <t xml:space="preserve"> DF P 
 ofertat
 [buc]</t>
  </si>
  <si>
    <t>Teava DF
P+I
de ofertat
[ml]</t>
  </si>
  <si>
    <t>SF P
evaluat
 [buc]</t>
  </si>
  <si>
    <r>
      <t xml:space="preserve">Profile omega </t>
    </r>
    <r>
      <rPr>
        <b/>
        <sz val="8"/>
        <rFont val="Verdana"/>
        <family val="2"/>
      </rPr>
      <t>I</t>
    </r>
    <r>
      <rPr>
        <sz val="8"/>
        <rFont val="Verdana"/>
        <family val="2"/>
      </rPr>
      <t xml:space="preserve">
evaluat
[buc]</t>
    </r>
  </si>
  <si>
    <r>
      <t xml:space="preserve">SF  </t>
    </r>
    <r>
      <rPr>
        <b/>
        <sz val="8"/>
        <rFont val="Verdana"/>
        <family val="2"/>
      </rPr>
      <t>I</t>
    </r>
    <r>
      <rPr>
        <sz val="8"/>
        <rFont val="Verdana"/>
        <family val="2"/>
      </rPr>
      <t xml:space="preserve">
evaluat
 [buc]</t>
    </r>
  </si>
  <si>
    <r>
      <t>Profile omega</t>
    </r>
    <r>
      <rPr>
        <b/>
        <sz val="8"/>
        <rFont val="Verdana"/>
        <family val="2"/>
      </rPr>
      <t xml:space="preserve"> P</t>
    </r>
    <r>
      <rPr>
        <sz val="8"/>
        <rFont val="Verdana"/>
        <family val="2"/>
      </rPr>
      <t xml:space="preserve">
evaluat
[buc]</t>
    </r>
  </si>
  <si>
    <t>Total P DF
teava de  ofertat
[ml]</t>
  </si>
  <si>
    <t xml:space="preserve"> Total I
DF teava de
 ofertat
 [buc]</t>
  </si>
  <si>
    <t xml:space="preserve"> Total I
SF teava de
 ofertat
 [buc]</t>
  </si>
  <si>
    <t>Total P 
SF teava
 de  ofertat
[ml]</t>
  </si>
  <si>
    <r>
      <t xml:space="preserve">pardoseala </t>
    </r>
    <r>
      <rPr>
        <b/>
        <sz val="10"/>
        <color theme="1"/>
        <rFont val="Verdana"/>
        <family val="2"/>
      </rPr>
      <t xml:space="preserve">Magnum Heating - Olanda, </t>
    </r>
    <r>
      <rPr>
        <sz val="10"/>
        <color theme="1"/>
        <rFont val="Verdana"/>
        <family val="2"/>
      </rPr>
      <t>sistem</t>
    </r>
    <r>
      <rPr>
        <b/>
        <sz val="10"/>
        <color theme="1"/>
        <rFont val="Verdana"/>
        <family val="2"/>
      </rPr>
      <t xml:space="preserve"> DryFloor </t>
    </r>
    <r>
      <rPr>
        <sz val="10"/>
        <color theme="1"/>
        <rFont val="Verdana"/>
        <family val="2"/>
      </rPr>
      <t>pentru suprafata</t>
    </r>
    <r>
      <rPr>
        <b/>
        <sz val="10"/>
        <color theme="1"/>
        <rFont val="Verdana"/>
        <family val="2"/>
      </rPr>
      <t xml:space="preserve"> S</t>
    </r>
    <r>
      <rPr>
        <sz val="10"/>
        <color theme="1"/>
        <rFont val="Verdana"/>
        <family val="2"/>
      </rPr>
      <t>=</t>
    </r>
  </si>
  <si>
    <r>
      <t xml:space="preserve">pardoseala </t>
    </r>
    <r>
      <rPr>
        <b/>
        <sz val="10"/>
        <color theme="1"/>
        <rFont val="Verdana"/>
        <family val="2"/>
      </rPr>
      <t xml:space="preserve">Magnum Heating - Olanda, sistem DryFloor + SlimFit </t>
    </r>
    <r>
      <rPr>
        <sz val="10"/>
        <color theme="1"/>
        <rFont val="Verdana"/>
        <family val="2"/>
      </rPr>
      <t>cu</t>
    </r>
    <r>
      <rPr>
        <b/>
        <sz val="10"/>
        <color theme="1"/>
        <rFont val="Verdana"/>
        <family val="2"/>
      </rPr>
      <t xml:space="preserve">  S =  </t>
    </r>
  </si>
  <si>
    <t xml:space="preserve"> mp</t>
  </si>
  <si>
    <r>
      <t xml:space="preserve">pardoseala </t>
    </r>
    <r>
      <rPr>
        <b/>
        <sz val="10"/>
        <color theme="1"/>
        <rFont val="Verdana"/>
        <family val="2"/>
      </rPr>
      <t>Magnum Heating - Olanda, sistem SlimFit + Heatboard, S =</t>
    </r>
  </si>
  <si>
    <t>Sistem uscat HeatBoard - parchet recomandat grosime 12-14mm,     S[mp] =</t>
  </si>
  <si>
    <t>Sistem SlimFit - gresie, necesita sapa autonivelanta 15mm-25mm,    S[mp] =</t>
  </si>
  <si>
    <t xml:space="preserve">                 ETAJ   I</t>
  </si>
  <si>
    <t xml:space="preserve">                PARTER  P</t>
  </si>
  <si>
    <r>
      <t xml:space="preserve">pardoseala </t>
    </r>
    <r>
      <rPr>
        <b/>
        <sz val="10"/>
        <color theme="1"/>
        <rFont val="Verdana"/>
        <family val="2"/>
      </rPr>
      <t xml:space="preserve">Magnum Heating - Olanda, </t>
    </r>
    <r>
      <rPr>
        <sz val="10"/>
        <color theme="1"/>
        <rFont val="Verdana"/>
        <family val="2"/>
      </rPr>
      <t>sistem</t>
    </r>
    <r>
      <rPr>
        <b/>
        <sz val="10"/>
        <color theme="1"/>
        <rFont val="Verdana"/>
        <family val="2"/>
      </rPr>
      <t xml:space="preserve"> Nuturi </t>
    </r>
    <r>
      <rPr>
        <sz val="10"/>
        <color theme="1"/>
        <rFont val="Verdana"/>
        <family val="2"/>
      </rPr>
      <t>pentru suprafata</t>
    </r>
    <r>
      <rPr>
        <b/>
        <sz val="10"/>
        <color theme="1"/>
        <rFont val="Verdana"/>
        <family val="2"/>
      </rPr>
      <t xml:space="preserve"> S =</t>
    </r>
  </si>
  <si>
    <t>Nr. Circuite DF
[buc]</t>
  </si>
  <si>
    <t xml:space="preserve"> DF I
 ofertat
 [buc]</t>
  </si>
  <si>
    <t xml:space="preserve"> Nr. 
Circuite DF
[buc]</t>
  </si>
  <si>
    <t>Nr. Circuite
SF [buc]</t>
  </si>
  <si>
    <t>camara</t>
  </si>
  <si>
    <t>grup sanitar</t>
  </si>
  <si>
    <t xml:space="preserve">hol partial </t>
  </si>
  <si>
    <t>CT spal+CT piscina</t>
  </si>
  <si>
    <t>vestibul</t>
  </si>
  <si>
    <t xml:space="preserve">hol  </t>
  </si>
  <si>
    <t xml:space="preserve">               PARTER   </t>
  </si>
  <si>
    <t xml:space="preserve">                ETAJ</t>
  </si>
  <si>
    <t>terasa</t>
  </si>
  <si>
    <t>Tv. I
 evaluat [ml]</t>
  </si>
  <si>
    <t>Tv. P
 evaluat [ml]</t>
  </si>
  <si>
    <t>Teava P
 evaluat [ml]</t>
  </si>
  <si>
    <t>Teava I
 evaluat [ml]</t>
  </si>
  <si>
    <t>Termost.
P de ofertat</t>
  </si>
  <si>
    <t>Teava I
 de  ofertat
[ml]</t>
  </si>
  <si>
    <t>Teava
P de  ofertat
[ml]</t>
  </si>
  <si>
    <t>Termost.
I de ofertat</t>
  </si>
  <si>
    <t>Centraline
I de ofertat</t>
  </si>
  <si>
    <t>Suprf. camere
P+I</t>
  </si>
  <si>
    <t>spa+piscina</t>
  </si>
  <si>
    <t>Nr. Termost
[buc]</t>
  </si>
  <si>
    <t>Teava
P
de  ofertat
[ml]</t>
  </si>
  <si>
    <t>Centraline
P de ofertat</t>
  </si>
  <si>
    <t>Termost.
I de 
ofertat</t>
  </si>
  <si>
    <t>Termost.
P de 
ofertat</t>
  </si>
  <si>
    <r>
      <rPr>
        <sz val="8"/>
        <color theme="1"/>
        <rFont val="Verdana"/>
        <family val="2"/>
      </rPr>
      <t>Suprf.</t>
    </r>
    <r>
      <rPr>
        <b/>
        <sz val="8"/>
        <color theme="1"/>
        <rFont val="Verdana"/>
        <family val="2"/>
      </rPr>
      <t xml:space="preserve">
HB+SF
P+I
[mp]</t>
    </r>
  </si>
  <si>
    <t xml:space="preserve"> - materialele pentru montaj coloane termice de alimentare (circuitul de la furnizorul de agent termic - centrala, cazan….etc) la distribuitoarele/colectore.</t>
  </si>
  <si>
    <t>living atelier</t>
  </si>
  <si>
    <t>spatiu th.</t>
  </si>
  <si>
    <t>Materiale automatizare</t>
  </si>
  <si>
    <t>Living</t>
  </si>
  <si>
    <t>GS</t>
  </si>
  <si>
    <r>
      <t xml:space="preserve">pardoseala </t>
    </r>
    <r>
      <rPr>
        <b/>
        <sz val="10"/>
        <color theme="1"/>
        <rFont val="Verdana"/>
        <family val="2"/>
      </rPr>
      <t xml:space="preserve">Magnum Heating-Olanda, </t>
    </r>
    <r>
      <rPr>
        <sz val="10"/>
        <color theme="1"/>
        <rFont val="Verdana"/>
        <family val="2"/>
      </rPr>
      <t>sistem</t>
    </r>
    <r>
      <rPr>
        <b/>
        <sz val="10"/>
        <color theme="1"/>
        <rFont val="Verdana"/>
        <family val="2"/>
      </rPr>
      <t xml:space="preserve"> Folie Tacker </t>
    </r>
    <r>
      <rPr>
        <sz val="10"/>
        <color theme="1"/>
        <rFont val="Verdana"/>
        <family val="2"/>
      </rPr>
      <t>pentru suprafata</t>
    </r>
    <r>
      <rPr>
        <b/>
        <sz val="10"/>
        <color theme="1"/>
        <rFont val="Verdana"/>
        <family val="2"/>
      </rPr>
      <t xml:space="preserve"> S=</t>
    </r>
  </si>
  <si>
    <r>
      <t xml:space="preserve">pardoseala </t>
    </r>
    <r>
      <rPr>
        <b/>
        <sz val="10"/>
        <color theme="1"/>
        <rFont val="Verdana"/>
        <family val="2"/>
      </rPr>
      <t xml:space="preserve">Magnum Heating-Olanda, </t>
    </r>
    <r>
      <rPr>
        <sz val="10"/>
        <color theme="1"/>
        <rFont val="Verdana"/>
        <family val="2"/>
      </rPr>
      <t xml:space="preserve">sistem </t>
    </r>
    <r>
      <rPr>
        <b/>
        <sz val="10"/>
        <color theme="1"/>
        <rFont val="Verdana"/>
        <family val="2"/>
      </rPr>
      <t xml:space="preserve">Placa Tacker </t>
    </r>
    <r>
      <rPr>
        <sz val="10"/>
        <color theme="1"/>
        <rFont val="Verdana"/>
        <family val="2"/>
      </rPr>
      <t>pentru suprafata</t>
    </r>
    <r>
      <rPr>
        <b/>
        <sz val="10"/>
        <color theme="1"/>
        <rFont val="Verdana"/>
        <family val="2"/>
      </rPr>
      <t xml:space="preserve"> S=</t>
    </r>
  </si>
  <si>
    <t>Placa izolatie Tacker IZOROL "L" Pack  EPS 100 / 25 mm</t>
  </si>
  <si>
    <t xml:space="preserve">Sistem Folie Tacker – neinclus polistirenul extrudat, (necesita sapa),     S[mp] = </t>
  </si>
  <si>
    <t xml:space="preserve">Sistem Placa Tacker – 10m x 1m x 25mm,  (necesita sapa),                     S[mp] = </t>
  </si>
  <si>
    <t>W14100</t>
  </si>
  <si>
    <t>Teava  incalzire PE-RT cu bariera de oxigen, 14x2 mm/100m</t>
  </si>
  <si>
    <t>W17600</t>
  </si>
  <si>
    <t>W20500</t>
  </si>
  <si>
    <t>Teava  incalzire PE-RT cu bariera de oxigen, 17x2 mm/600m</t>
  </si>
  <si>
    <t>Teava  incalzire PE-RT cu bariera de oxigen, 20x2 mm/500m</t>
  </si>
  <si>
    <t xml:space="preserve">Sistem Placa Tacker (mp) – 10m x 1m x 25mm,  (necesita sapa de ciment si nisip)                 </t>
  </si>
  <si>
    <t>Sistem cu nuturi (mp) - Placa cu nuturi cu izolatie</t>
  </si>
  <si>
    <t xml:space="preserve">Distribuitor/colector premium din otel inoxidabil cu 6 intrari/iesiri, echipat cu robinete sfera 1", valve integrate, debitmetre reglabile 0-2,5l/min, aerisitor automat, manometru si kit de montaj </t>
  </si>
  <si>
    <t xml:space="preserve">Distribuitor/colector premium din otel inoxidabil cu 7 intrari/iesiri, echipat cu robinete sfera 1", valve integrate, debitmetre reglabile 0-2,5l/min, aerisitor automat, manometru si kit de montaj </t>
  </si>
  <si>
    <t>Localitate: Bucuresti</t>
  </si>
  <si>
    <t>In atentia: D-lui Marius Glufcios</t>
  </si>
  <si>
    <t>W90103</t>
  </si>
  <si>
    <t>Clipsuri fixare teava 40mm(300buc/set) - tacker</t>
  </si>
  <si>
    <t>Nr. Circuite
SF[buc]</t>
  </si>
  <si>
    <t>Nr. 
Circuite 
HB[buc]</t>
  </si>
  <si>
    <t>MANSARDA   M</t>
  </si>
  <si>
    <t>Termost.
M de 
ofertat</t>
  </si>
  <si>
    <t>Centraline
M
de ofertat</t>
  </si>
  <si>
    <t xml:space="preserve"> SF M ofertat [buc]</t>
  </si>
  <si>
    <t>SF  M
evaluat
 [buc]</t>
  </si>
  <si>
    <t xml:space="preserve"> Total M
SF de
 ofertat
baxuri [buc]</t>
  </si>
  <si>
    <r>
      <t>Suprf.</t>
    </r>
    <r>
      <rPr>
        <b/>
        <sz val="8"/>
        <color theme="1"/>
        <rFont val="Verdana"/>
        <family val="2"/>
      </rPr>
      <t>SF</t>
    </r>
    <r>
      <rPr>
        <sz val="8"/>
        <color theme="1"/>
        <rFont val="Verdana"/>
        <family val="2"/>
      </rPr>
      <t xml:space="preserve"> 
</t>
    </r>
    <r>
      <rPr>
        <b/>
        <sz val="8"/>
        <color theme="1"/>
        <rFont val="Verdana"/>
        <family val="2"/>
      </rPr>
      <t>P+I+M</t>
    </r>
    <r>
      <rPr>
        <sz val="8"/>
        <color theme="1"/>
        <rFont val="Verdana"/>
        <family val="2"/>
      </rPr>
      <t xml:space="preserve"> [mp]</t>
    </r>
  </si>
  <si>
    <r>
      <t>Suprf.</t>
    </r>
    <r>
      <rPr>
        <b/>
        <sz val="8"/>
        <color theme="1"/>
        <rFont val="Verdana"/>
        <family val="2"/>
      </rPr>
      <t xml:space="preserve">HB </t>
    </r>
    <r>
      <rPr>
        <sz val="8"/>
        <color theme="1"/>
        <rFont val="Verdana"/>
        <family val="2"/>
      </rPr>
      <t xml:space="preserve">
</t>
    </r>
    <r>
      <rPr>
        <b/>
        <sz val="8"/>
        <color theme="1"/>
        <rFont val="Verdana"/>
        <family val="2"/>
      </rPr>
      <t>P+I+M</t>
    </r>
    <r>
      <rPr>
        <sz val="8"/>
        <color theme="1"/>
        <rFont val="Verdana"/>
        <family val="2"/>
      </rPr>
      <t xml:space="preserve">
[mp]</t>
    </r>
  </si>
  <si>
    <r>
      <rPr>
        <sz val="8"/>
        <color theme="1"/>
        <rFont val="Verdana"/>
        <family val="2"/>
      </rPr>
      <t>Suprf.</t>
    </r>
    <r>
      <rPr>
        <b/>
        <sz val="8"/>
        <color theme="1"/>
        <rFont val="Verdana"/>
        <family val="2"/>
      </rPr>
      <t xml:space="preserve">
HB+SF
P+I+M
[mp]</t>
    </r>
  </si>
  <si>
    <t xml:space="preserve"> HB
P+I+M de
 ofertat
 [buc]</t>
  </si>
  <si>
    <t xml:space="preserve"> SF
P+I+M 
de
 ofertat  [buc]</t>
  </si>
  <si>
    <t>Banda
  P+I+M ofertat
[ml]</t>
  </si>
  <si>
    <t>Total
circuite 
P+I+M</t>
  </si>
  <si>
    <t>https://www.magnumheating-romania.ro/</t>
  </si>
  <si>
    <t>W21235</t>
  </si>
  <si>
    <t xml:space="preserve">ETAJ </t>
  </si>
  <si>
    <t xml:space="preserve">ETAJ I   </t>
  </si>
  <si>
    <t>2. Sunt prezentate 2 variante de automatizare la alegere, cu fir sau wireless, ce permit controlul wi-fi de la distanta din aplicatie de pe smartphone.</t>
  </si>
  <si>
    <t>Manopera incalzire prin pardoseala</t>
  </si>
  <si>
    <t>[EUR]</t>
  </si>
  <si>
    <t>nivel</t>
  </si>
  <si>
    <t>Manopera automatizare varianta 1 cu fir + materiale / nivel</t>
  </si>
  <si>
    <t>Manopera automatizare varianta 2 wireless / nivel</t>
  </si>
  <si>
    <t>TOTAL OFERTA MANOPERA [EUR]</t>
  </si>
  <si>
    <t>Manopera incalzire prin pardoseala si automatizare varianta 1</t>
  </si>
  <si>
    <t>Manopera incalzire prin pardoseala si automatizare varianta 2</t>
  </si>
  <si>
    <t>MANSARDA</t>
  </si>
  <si>
    <t>Suprf.
TACKER 
(Placa sau Folie)
P+I+M
[mp]</t>
  </si>
  <si>
    <t xml:space="preserve"> Placa
 Tacker
P+I+M
de
 ofertat  [buc]</t>
  </si>
  <si>
    <t>Tv. M
 evaluat [ml]</t>
  </si>
  <si>
    <t>Teava M
teava de  ofertat
[ml]</t>
  </si>
  <si>
    <t>Suprf.M
[mp]</t>
  </si>
  <si>
    <t>Termost.
M de ofertat</t>
  </si>
  <si>
    <t>Centraline
M de ofertat</t>
  </si>
  <si>
    <t>Circuite
 D/C
M</t>
  </si>
  <si>
    <t xml:space="preserve">
Actuat.  
M</t>
  </si>
  <si>
    <t>Teava 
P+I+M
de ofertat
[ml]</t>
  </si>
  <si>
    <t xml:space="preserve">
Termost
M </t>
  </si>
  <si>
    <t>Suprf.
Nuturi
P+I+M
[mp]</t>
  </si>
  <si>
    <t>Agrafe 
P+I+M
de ofertat
[buc]</t>
  </si>
  <si>
    <r>
      <t xml:space="preserve">pardoseala </t>
    </r>
    <r>
      <rPr>
        <b/>
        <sz val="10"/>
        <color theme="1"/>
        <rFont val="Verdana"/>
        <family val="2"/>
      </rPr>
      <t xml:space="preserve">Magnum Heating-Olanda, </t>
    </r>
    <r>
      <rPr>
        <sz val="10"/>
        <color theme="1"/>
        <rFont val="Verdana"/>
        <family val="2"/>
      </rPr>
      <t xml:space="preserve">sistem </t>
    </r>
    <r>
      <rPr>
        <b/>
        <sz val="10"/>
        <color theme="1"/>
        <rFont val="Verdana"/>
        <family val="2"/>
      </rPr>
      <t xml:space="preserve">FiberBoard </t>
    </r>
    <r>
      <rPr>
        <sz val="10"/>
        <color theme="1"/>
        <rFont val="Verdana"/>
        <family val="2"/>
      </rPr>
      <t>pentru suprafata</t>
    </r>
    <r>
      <rPr>
        <b/>
        <sz val="10"/>
        <color theme="1"/>
        <rFont val="Verdana"/>
        <family val="2"/>
      </rPr>
      <t xml:space="preserve"> S=</t>
    </r>
  </si>
  <si>
    <t xml:space="preserve">Sistem FiberBoard – 120cm x 60cm &amp; 60cm x 60cm                                  S[mp] = </t>
  </si>
  <si>
    <t>W63001</t>
  </si>
  <si>
    <t>W63002</t>
  </si>
  <si>
    <t>W63003</t>
  </si>
  <si>
    <r>
      <rPr>
        <sz val="9"/>
        <color theme="1"/>
        <rFont val="Verdana"/>
        <family val="2"/>
      </rPr>
      <t>Placa Gips de intoarcere FiberBoard Multi</t>
    </r>
    <r>
      <rPr>
        <b/>
        <sz val="9"/>
        <color theme="1"/>
        <rFont val="Verdana"/>
        <family val="2"/>
      </rPr>
      <t xml:space="preserve"> 60x60cm - 18mm pentru tub Magnum 12x1,5mm, 59kg</t>
    </r>
  </si>
  <si>
    <r>
      <rPr>
        <sz val="9"/>
        <color theme="1"/>
        <rFont val="Verdana"/>
        <family val="2"/>
      </rPr>
      <t>Placa Gips plecare distribuitor FiberBoard Connect</t>
    </r>
    <r>
      <rPr>
        <b/>
        <sz val="9"/>
        <color theme="1"/>
        <rFont val="Verdana"/>
        <family val="2"/>
      </rPr>
      <t xml:space="preserve"> 120x60cm - 18mm pentru tub Magnum 12x1,5mm, 15kg</t>
    </r>
  </si>
  <si>
    <r>
      <rPr>
        <sz val="9"/>
        <color theme="1"/>
        <rFont val="Verdana"/>
        <family val="2"/>
      </rPr>
      <t>Placa Gips de camp FiberBoard Connect</t>
    </r>
    <r>
      <rPr>
        <b/>
        <sz val="9"/>
        <color theme="1"/>
        <rFont val="Verdana"/>
        <family val="2"/>
      </rPr>
      <t xml:space="preserve"> 120x60cm - 18mm pentru tub Magnum 12x1,5mm, 15kg</t>
    </r>
  </si>
  <si>
    <t>Suprafata
totala FiberBoard 
P+I+M
[mp]</t>
  </si>
  <si>
    <t>DF M
evaluat
[buc]</t>
  </si>
  <si>
    <t xml:space="preserve"> DF M
 ofertat
 [buc]</t>
  </si>
  <si>
    <r>
      <t xml:space="preserve">Suprf.DF
</t>
    </r>
    <r>
      <rPr>
        <b/>
        <sz val="8"/>
        <color theme="1"/>
        <rFont val="Verdana"/>
        <family val="2"/>
      </rPr>
      <t>P+I+M</t>
    </r>
    <r>
      <rPr>
        <sz val="8"/>
        <color theme="1"/>
        <rFont val="Verdana"/>
        <family val="2"/>
      </rPr>
      <t xml:space="preserve">
[mp]</t>
    </r>
  </si>
  <si>
    <t>Profile omega M
evaluat
[buc]</t>
  </si>
  <si>
    <r>
      <t xml:space="preserve">Conector
</t>
    </r>
    <r>
      <rPr>
        <b/>
        <sz val="8"/>
        <rFont val="Verdana"/>
        <family val="2"/>
      </rPr>
      <t>P+I+M</t>
    </r>
    <r>
      <rPr>
        <sz val="8"/>
        <rFont val="Verdana"/>
        <family val="2"/>
      </rPr>
      <t xml:space="preserve">
14x2
[set]</t>
    </r>
  </si>
  <si>
    <r>
      <t xml:space="preserve">Conector
</t>
    </r>
    <r>
      <rPr>
        <b/>
        <sz val="8"/>
        <color theme="1"/>
        <rFont val="Verdana"/>
        <family val="2"/>
      </rPr>
      <t>P+I+M</t>
    </r>
    <r>
      <rPr>
        <sz val="8"/>
        <color theme="1"/>
        <rFont val="Verdana"/>
        <family val="2"/>
      </rPr>
      <t xml:space="preserve">
12x1.3
[set]</t>
    </r>
  </si>
  <si>
    <t>Termost.
M
de ofertat</t>
  </si>
  <si>
    <t>Suprf.
DF+SF
P+I+M</t>
  </si>
  <si>
    <t>W90011</t>
  </si>
  <si>
    <t xml:space="preserve"> DF
P+I+M de
 ofertat
 [buc]</t>
  </si>
  <si>
    <t>Teava SF
P+I+M
 de  ofertat
[ml]</t>
  </si>
  <si>
    <r>
      <t xml:space="preserve">Profile omega </t>
    </r>
    <r>
      <rPr>
        <b/>
        <sz val="8"/>
        <rFont val="Verdana"/>
        <family val="2"/>
      </rPr>
      <t>P+I+M</t>
    </r>
    <r>
      <rPr>
        <sz val="8"/>
        <rFont val="Verdana"/>
        <family val="2"/>
      </rPr>
      <t xml:space="preserve">
evaluat
[buc]</t>
    </r>
  </si>
  <si>
    <t>Banda
 perim. P+I+M ofertat
[ml]</t>
  </si>
  <si>
    <t xml:space="preserve"> Folie
 Tacker
P+I+M de
 ofertat  [buc]</t>
  </si>
  <si>
    <t>Banda
 perim. P+I+M de ofertat
[ml]</t>
  </si>
  <si>
    <t xml:space="preserve"> Placa nuturi
P+I+M de
 ofertat  [buc]</t>
  </si>
  <si>
    <t>W82000</t>
  </si>
  <si>
    <t>W82001</t>
  </si>
  <si>
    <r>
      <t xml:space="preserve">Cronotermostat wireless Zigbee, </t>
    </r>
    <r>
      <rPr>
        <b/>
        <sz val="9"/>
        <color theme="1"/>
        <rFont val="Verdana"/>
        <family val="2"/>
      </rPr>
      <t>H128</t>
    </r>
  </si>
  <si>
    <r>
      <t xml:space="preserve">Kit unitate principala de control wireless 8 zone </t>
    </r>
    <r>
      <rPr>
        <b/>
        <sz val="9"/>
        <color theme="1"/>
        <rFont val="Verdana"/>
        <family val="2"/>
      </rPr>
      <t>H128</t>
    </r>
    <r>
      <rPr>
        <sz val="9"/>
        <color theme="1"/>
        <rFont val="Verdana"/>
        <family val="2"/>
      </rPr>
      <t xml:space="preserve">  + Gateway Zigbee</t>
    </r>
  </si>
  <si>
    <t>Varianta 1 – automatizare Magnum cu fir comanda wifi smartphone/tableta</t>
  </si>
  <si>
    <t xml:space="preserve">Varianta 2 - automatizare Magnum wireless comanda wifi smartphone/tableta </t>
  </si>
  <si>
    <t>1. Sunt prezentate 2 variante de automatizare la alegere, cu fir sau wireless, ce permit controlul wi-fi de la distanta din aplicatie de pe smartphone.</t>
  </si>
  <si>
    <r>
      <t>2. Oferta prezentata este estimativa si nu tine loc de proiect. Aceasta se poate modifica in functie de situatia reala sau in functie de calculul din proiect.</t>
    </r>
    <r>
      <rPr>
        <b/>
        <sz val="9"/>
        <color theme="1"/>
        <rFont val="Verdana"/>
        <family val="2"/>
      </rPr>
      <t xml:space="preserve"> </t>
    </r>
  </si>
  <si>
    <t xml:space="preserve"> - polistirenul expandat de inalta densitate (30kg/mc) sau extrudat EPS200 de minim 3cm. </t>
  </si>
  <si>
    <t>Teava incalzire PE-XA Uponor, 16x2 mm/640 m</t>
  </si>
  <si>
    <t>W16640</t>
  </si>
  <si>
    <r>
      <t xml:space="preserve">Va multumim pentru cererea de oferta si va prezentam mai jos propunerea noastra pentru sistemul de incalzire prin pardoseala </t>
    </r>
    <r>
      <rPr>
        <b/>
        <sz val="10"/>
        <color theme="1"/>
        <rFont val="Verdana"/>
        <family val="2"/>
      </rPr>
      <t>Magnum Heating - Olanda.</t>
    </r>
  </si>
  <si>
    <t>hol partial</t>
  </si>
  <si>
    <r>
      <t xml:space="preserve">Sistem FiberBoard – 120cm x 60cm </t>
    </r>
    <r>
      <rPr>
        <sz val="9"/>
        <color rgb="FF000000"/>
        <rFont val="Verdana"/>
        <family val="2"/>
      </rPr>
      <t>&amp;</t>
    </r>
    <r>
      <rPr>
        <b/>
        <sz val="9"/>
        <color rgb="FF000000"/>
        <rFont val="Verdana"/>
        <family val="2"/>
      </rPr>
      <t xml:space="preserve"> 60cm x 60cm                                 </t>
    </r>
  </si>
  <si>
    <t>Sistem uscat DryFloor  - parchet (recomandat 10-14mm),                   S[mp] =</t>
  </si>
  <si>
    <t>Sistem uscat DryFloor  - parchet (recomandat 10-14mm),                  S[mp] =</t>
  </si>
  <si>
    <t>Sistem uscat HeatBoard - parchet (recomandat 12-14mm)</t>
  </si>
  <si>
    <t>Sistem uscat DryFloor - parchet (recomandat 10-14mm)</t>
  </si>
  <si>
    <t>Sistem SlimFit  - gresie, necesita sapa autonivelanta (min 15mm-max 25mm)</t>
  </si>
  <si>
    <t>Sistem Folie Tacker – (necesita sapa de ciment; nu este inclus polistirenul extrudat)</t>
  </si>
  <si>
    <t>FIBERBOARD- gresie/parchet</t>
  </si>
  <si>
    <t>PLACA NUTURI - gresie/parchet</t>
  </si>
  <si>
    <t>TACKER - gresie/parchet</t>
  </si>
  <si>
    <t>Distribuitor otel cu pompa electronica Grundfos Alpha 2L 1 circuit</t>
  </si>
  <si>
    <t>Distribuitor otel cu pompa electronica Grundfos Alpha 2L 2 circuite</t>
  </si>
  <si>
    <t>Distribuitor otel cu pompa electronica Grundfos Alpha 2L 3 circuite</t>
  </si>
  <si>
    <t>Distribuitor otel cu pompa electronica Grundfos Alpha 2L 4 circuite</t>
  </si>
  <si>
    <t>Distribuitor otel cu pompa electronica Grundfos Alpha 2L 5 circuite</t>
  </si>
  <si>
    <t>Distribuitor otel cu pompa electronica Grundfos Alpha 2L 6 circuite</t>
  </si>
  <si>
    <t>Distribuitor otel cu pompa electronica Grundfos Alpha 2L 7 circuite</t>
  </si>
  <si>
    <t>Distribuitor otel cu pompa electronica Grundfos Alpha 2L 8 circuite</t>
  </si>
  <si>
    <t>Distribuitor otel cu pompa electronica Grundfos Alpha 2L 9 circuite</t>
  </si>
  <si>
    <t>Distribuitor otel cu pompa electronica Grundfos Alpha 2L 10 circuite</t>
  </si>
  <si>
    <t>Distribuitor/colector premium din otel inoxidabil cu 6 intrari/iesiri, echipat cu robinete sfera 1", valve integrate, debitmetre reglabile 0-2,5l/min, aerisitor automat, manometru si kit de montaj</t>
  </si>
  <si>
    <t>Distribuitor/colector premium din otel inoxidabil cu 7 intrari/iesiri, echipat cu robinete sfera 1", valve integrate, debitmetre reglabile 0-2,5l/min, aerisitor automat, manometru si kit de montaj</t>
  </si>
  <si>
    <t xml:space="preserve"> - sapa semiumeda de ciment si nisip - minim 5cm peste teava, armata cu fulgi de polipropilena.(achizitie client)</t>
  </si>
  <si>
    <t>W20835</t>
  </si>
  <si>
    <r>
      <t xml:space="preserve">Placa izolatie Tacker IZOROL "L" Pack  EPS 100 / </t>
    </r>
    <r>
      <rPr>
        <b/>
        <sz val="9"/>
        <color theme="1"/>
        <rFont val="Verdana"/>
        <family val="2"/>
      </rPr>
      <t>25 mm</t>
    </r>
  </si>
  <si>
    <t>W92005</t>
  </si>
  <si>
    <t>W90111</t>
  </si>
  <si>
    <t>Banda perimetrala 15 cm x 8 mm (25 m)</t>
  </si>
  <si>
    <t>Banda perimetrala 15 cm x 5 mm (25 m)</t>
  </si>
  <si>
    <t>W20535</t>
  </si>
  <si>
    <t>Cutie distribuitor / colector 535 cm 535/713-813/110-160</t>
  </si>
  <si>
    <t>Cutie distribuitor / colector 435 cm 435/713-813/110-160</t>
  </si>
  <si>
    <t>W20680</t>
  </si>
  <si>
    <t>Cutie  distribuitor / colector 680 cm 680/713-813/110-160</t>
  </si>
  <si>
    <t>Cutie  distribuitor / colector 835 cm 835/713-813/110-160</t>
  </si>
  <si>
    <t>Cutie  distribuitor / colector 1035/713-813/110-160</t>
  </si>
  <si>
    <t>Cutie  distribuitor / colector 1135/713-813/110-160</t>
  </si>
  <si>
    <t>Cutie  distribuitor / colector 1235 / 575 / 110</t>
  </si>
  <si>
    <t>Grup mixare echipat cu pompa pompa Grundfos Alpha 1L electronica de inalta eficienta</t>
  </si>
  <si>
    <t>W90017</t>
  </si>
  <si>
    <t>Conector eurocon 17x2 mm/2 buc./set</t>
  </si>
  <si>
    <t>Magnum DuoBoard 1200x600 , 3 mm , 2,8 mp/ buc. pachet</t>
  </si>
  <si>
    <t xml:space="preserve">In atentia: D-lui </t>
  </si>
  <si>
    <r>
      <t>pardoseala</t>
    </r>
    <r>
      <rPr>
        <b/>
        <sz val="10"/>
        <color theme="1"/>
        <rFont val="Verdana"/>
        <family val="2"/>
      </rPr>
      <t xml:space="preserve"> WARP - Olanda, sistem SpeeTile cu suprafata                        S =</t>
    </r>
  </si>
  <si>
    <t>Nr.</t>
  </si>
  <si>
    <t>W10100</t>
  </si>
  <si>
    <t>Teava MAGNUM PE-RT 10 x 1,3 mm/100m/ buc (rola)</t>
  </si>
  <si>
    <t xml:space="preserve">buc </t>
  </si>
  <si>
    <t>W10300</t>
  </si>
  <si>
    <t>Teava MAGNUM PE-RT 10 x 1,3 mm/300m/ buc (rola)</t>
  </si>
  <si>
    <t>buc</t>
  </si>
  <si>
    <t xml:space="preserve">Distribuitor premium otel inoxidabil complet echipat </t>
  </si>
  <si>
    <t>Distribuitor premium  otel inoxidabil 2 circuite</t>
  </si>
  <si>
    <t>Distribuitor premium otel inoxidabil 3 circuite</t>
  </si>
  <si>
    <t>Distribuitor premium otel inoxidabil 4 circuite</t>
  </si>
  <si>
    <t>Distribuitor premium otel inoxidabil 5 circuite</t>
  </si>
  <si>
    <t>Distribuitor premium otel inoxidabil 6 circuite</t>
  </si>
  <si>
    <t>Distribuitor premium otel inoxidabil 7 circuite</t>
  </si>
  <si>
    <t>Distribuitor premium otel inoxidabil 8 circuite</t>
  </si>
  <si>
    <t>Distribuitor premium otel inoxidabil 9 circuite</t>
  </si>
  <si>
    <t>Distribuitor premium otel inoxidabil 10 circuite</t>
  </si>
  <si>
    <t>Distribuitor premium otel inoxidabil 11 circuite</t>
  </si>
  <si>
    <t>Distribuitor premium otel inoxidabil 12 circuite</t>
  </si>
  <si>
    <t>Distribuitor premium otel inoxidabil 13 circuite</t>
  </si>
  <si>
    <t>Distribuitor premium otel inoxidabil 14 circuite</t>
  </si>
  <si>
    <t>Distribuitor premium otel inoxidabil 15 circuite</t>
  </si>
  <si>
    <t>Grup de mixare pompa Grundfos Alpha 1 electronica - OPTIONAL</t>
  </si>
  <si>
    <t xml:space="preserve">Distribuitor premium plastic compozit complet echipat </t>
  </si>
  <si>
    <t>W52002</t>
  </si>
  <si>
    <t>Distribuitor premium  plastic compozit 2 circuite</t>
  </si>
  <si>
    <t>W52003</t>
  </si>
  <si>
    <t>Distribuitor premium plastic compozit 3 circuite</t>
  </si>
  <si>
    <t>W52004</t>
  </si>
  <si>
    <t>Distribuitor premium plastic compozit 4 circuite</t>
  </si>
  <si>
    <t>W52005</t>
  </si>
  <si>
    <t>Distribuitor premium plastic compozit 5 circuite</t>
  </si>
  <si>
    <t>W52006</t>
  </si>
  <si>
    <t>Distribuitor premium plastic compozit 6 circuite</t>
  </si>
  <si>
    <t>W52007</t>
  </si>
  <si>
    <t>Distribuitor premium plastic compozit 7 circuite</t>
  </si>
  <si>
    <t>W52008</t>
  </si>
  <si>
    <t>Distribuitor premium plastic compozit 8 circuite</t>
  </si>
  <si>
    <t>W52009</t>
  </si>
  <si>
    <t>Distribuitor premium plastic compozit 9 circuite</t>
  </si>
  <si>
    <t>W52010</t>
  </si>
  <si>
    <t>Distribuitor premium plastic compozit 10 circuite</t>
  </si>
  <si>
    <t>W52011</t>
  </si>
  <si>
    <t>Distribuitor premium plastic compozit 11 circuite</t>
  </si>
  <si>
    <t>W52012</t>
  </si>
  <si>
    <t>Distribuitor premium plastic compozit 12 circuite</t>
  </si>
  <si>
    <t xml:space="preserve">Cutie distribuitor / colector </t>
  </si>
  <si>
    <t>Incalzire pardoseala inaltime redusa SpeeTile 10 inaltime 12.75 mm sapa fluida S [mp]=</t>
  </si>
  <si>
    <t>OTS0010</t>
  </si>
  <si>
    <t>Sistem inaltime redusa 12.75 mm SpeeTile10, 0.9 m²/ buc</t>
  </si>
  <si>
    <t>Adaptor MAGNUM / Kit eurocon 10 x 1,3 x 3/4"</t>
  </si>
  <si>
    <t>Set</t>
  </si>
  <si>
    <t>W91001</t>
  </si>
  <si>
    <t>Kit conexiune Push-Fit 10 (1 x SlimFit System) 2buc/set</t>
  </si>
  <si>
    <t>W91002</t>
  </si>
  <si>
    <t>Kit conexiune Push-Fit 10 (2 x SlimFit System) 2buc/set</t>
  </si>
  <si>
    <t xml:space="preserve">Izolatie si accesorii incalzire prin pardoseala </t>
  </si>
  <si>
    <t>Folie reflectorizanta aluminiu 20 m x 1,5 m ( 30 m² )</t>
  </si>
  <si>
    <t>Folie reflectorizanta aluminiu 50 m x 1,5 m ( 75 m² )</t>
  </si>
  <si>
    <t>OSPTRAP010</t>
  </si>
  <si>
    <t>SpeeTrap 10mm</t>
  </si>
  <si>
    <t>OSPTURN010</t>
  </si>
  <si>
    <t xml:space="preserve">SpeeTurn 10mm curba </t>
  </si>
  <si>
    <t>OKALIBRA1012</t>
  </si>
  <si>
    <t>Calibrator  10mm-12mm</t>
  </si>
  <si>
    <t>OSPTACK010</t>
  </si>
  <si>
    <t>SpeeTack agrafe 10 mm ( 100 buc )</t>
  </si>
  <si>
    <t>OSPPLUG010</t>
  </si>
  <si>
    <t>SpeeTplug10 mm ( 100 buc )</t>
  </si>
  <si>
    <t xml:space="preserve">Banda Scotch Aluminiu </t>
  </si>
  <si>
    <t>Izolatie pentru gresie Isoplate 3 m² (5 buc. de 60 x 100 x 1 cm)</t>
  </si>
  <si>
    <t>Izolatie pentru gresie Isoplate 4,8 m²
 (8 buc. de 60 x 100 x 0,6 cm)</t>
  </si>
  <si>
    <t>W92055</t>
  </si>
  <si>
    <t>Banda perimetrala 25 m x 10 cm x 5 mm (25m/rola)(w90110)</t>
  </si>
  <si>
    <t>CANSPTIGHT</t>
  </si>
  <si>
    <t>SpeeTight Spray adeziv de contact CA52R 500 ml</t>
  </si>
  <si>
    <t>VESSPTIGHT</t>
  </si>
  <si>
    <t>SpeeTight Spray adeziv de contact 22 l / 17 Kg</t>
  </si>
  <si>
    <t>OSPPRIM001</t>
  </si>
  <si>
    <t>Grund absorbant VD 1Kg</t>
  </si>
  <si>
    <t>OSPPRIM010</t>
  </si>
  <si>
    <t>Grund absorbant VD 10Kg</t>
  </si>
  <si>
    <t>BMMTOP515</t>
  </si>
  <si>
    <t>Sapa egalizare SpeeTop Egaline 25 KG</t>
  </si>
  <si>
    <t>ing.Mihail Macovei 0760.043.655</t>
  </si>
  <si>
    <t>mihail.macovei@magnumheating.ro</t>
  </si>
  <si>
    <r>
      <t xml:space="preserve">pardoseala </t>
    </r>
    <r>
      <rPr>
        <b/>
        <sz val="10"/>
        <color theme="1"/>
        <rFont val="Verdana"/>
        <family val="2"/>
      </rPr>
      <t>Magnum Heating - Olanda, sistem SpeeTherm cu suprafata   S =</t>
    </r>
  </si>
  <si>
    <t xml:space="preserve">Incalzire  pardoseala parchet , sistem uscat , fara sapa SpeeTherm 15              S [mp]  = </t>
  </si>
  <si>
    <t>NRT0010</t>
  </si>
  <si>
    <t xml:space="preserve">Izolatie sistem uscat   SpeeTherm 14 mm - 11x0.48 mp = 5mp
 ( dimensiune bax 800 x 600 x 140 mm ) </t>
  </si>
  <si>
    <t xml:space="preserve">Incalzire  pardoseala parchet , sistem uscat , fara sapa SpeeTherm 30              S [mp]  = </t>
  </si>
  <si>
    <t xml:space="preserve">Izolatie sistem uscat   SpeeTherm 29 mm - 11x0.48 mp = 5mp
 ( dimensiune placa 800 x 600mm ) </t>
  </si>
  <si>
    <t>NAT001098</t>
  </si>
  <si>
    <t>Profil Omega aluminiu 98mm - pentru teava de 10 mm - 50 buc / 5mp</t>
  </si>
  <si>
    <t>Banda perimetrala 25 m x 15 cm x 8 mm cu adeziv (25m/rola)</t>
  </si>
  <si>
    <r>
      <t xml:space="preserve">pardoseala WARP </t>
    </r>
    <r>
      <rPr>
        <b/>
        <sz val="10"/>
        <color theme="1"/>
        <rFont val="Verdana"/>
        <family val="2"/>
      </rPr>
      <t>- Olanda, sistem SpeeTile + SpeeTherm, cu suprafata S =</t>
    </r>
  </si>
  <si>
    <t>Incalzire pardoseala inaltime redusa SpeeTile 10 inaltime 12.75 mm sapa fluida S [mp] =</t>
  </si>
  <si>
    <t>Sistem inaltime redusa 12.75 mm SpeeTile 10,  0.9 m²/ buc</t>
  </si>
  <si>
    <t xml:space="preserve">Izolatie sistem uscat   SpeeTherm 14 mm - 11x0.48 mp = 5mp
 ( dimensiune placa 800 x 600 x 140 mm ) </t>
  </si>
  <si>
    <t>Banda perimetrala 25 m x 15 cm x 5 mm (25m/rola)</t>
  </si>
  <si>
    <t>SPEETHERM15/30 - PARCHET</t>
  </si>
  <si>
    <t>SPEETILE10-GRESIE</t>
  </si>
  <si>
    <t>Nr.
 Circuite 
[buc]</t>
  </si>
  <si>
    <t>Nr. Term.</t>
  </si>
  <si>
    <t>Nr. Circuite
[buc]</t>
  </si>
  <si>
    <t xml:space="preserve"> Nr. Circuite
[buc] </t>
  </si>
  <si>
    <t xml:space="preserve"> Nr. Circuite
[buc]</t>
  </si>
  <si>
    <t>scara</t>
  </si>
  <si>
    <t>Speetherm  P
evaluat
[buc]</t>
  </si>
  <si>
    <t>lungime 
medie circuit</t>
  </si>
  <si>
    <t>Tv.P  Speetherm
evaluat [ml]</t>
  </si>
  <si>
    <t>Nr. circuite
speetherm</t>
  </si>
  <si>
    <t>Speetile P
evaluat
 [buc]</t>
  </si>
  <si>
    <t>Tv.P  Speetile
evaluat [ml]</t>
  </si>
  <si>
    <t>Nr. circuite
speetile</t>
  </si>
  <si>
    <t>Unitate centrala
E</t>
  </si>
  <si>
    <t>Speetherm  E
evaluat
[buc]</t>
  </si>
  <si>
    <t>Tv.E Speetherm
evaluat [ml]</t>
  </si>
  <si>
    <t>Speetile E
evaluat
 [buc]</t>
  </si>
  <si>
    <t>Tv.E Speetile
evaluat [ml]</t>
  </si>
  <si>
    <t>Termost.
E de 
ofertat</t>
  </si>
  <si>
    <t>Speetherm  M
evaluat
[buc]</t>
  </si>
  <si>
    <t>Tv. M
evaluat [ml]</t>
  </si>
  <si>
    <t>Nr. circuite
Speetherm</t>
  </si>
  <si>
    <t>Speetile M
evaluat
 [buc]</t>
  </si>
  <si>
    <t>Tv.M Speetile
evaluat [ml]</t>
  </si>
  <si>
    <t>Nr. circuite
Speetile</t>
  </si>
  <si>
    <t>Unitate centrala
M</t>
  </si>
  <si>
    <r>
      <t xml:space="preserve">
</t>
    </r>
    <r>
      <rPr>
        <b/>
        <sz val="8"/>
        <color theme="1"/>
        <rFont val="Verdana"/>
        <family val="2"/>
      </rPr>
      <t xml:space="preserve">Speetherm
de ofertat </t>
    </r>
    <r>
      <rPr>
        <sz val="8"/>
        <color theme="1"/>
        <rFont val="Verdana"/>
        <family val="2"/>
      </rPr>
      <t xml:space="preserve">
</t>
    </r>
    <r>
      <rPr>
        <b/>
        <sz val="8"/>
        <color theme="1"/>
        <rFont val="Verdana"/>
        <family val="2"/>
      </rPr>
      <t>P+E+M</t>
    </r>
    <r>
      <rPr>
        <sz val="8"/>
        <color theme="1"/>
        <rFont val="Verdana"/>
        <family val="2"/>
      </rPr>
      <t xml:space="preserve">
[buc]</t>
    </r>
  </si>
  <si>
    <r>
      <t xml:space="preserve">
</t>
    </r>
    <r>
      <rPr>
        <b/>
        <sz val="8"/>
        <color theme="1"/>
        <rFont val="Verdana"/>
        <family val="2"/>
      </rPr>
      <t>Speetile
de ofertat</t>
    </r>
    <r>
      <rPr>
        <sz val="8"/>
        <color theme="1"/>
        <rFont val="Verdana"/>
        <family val="2"/>
      </rPr>
      <t xml:space="preserve"> 
</t>
    </r>
    <r>
      <rPr>
        <b/>
        <sz val="8"/>
        <color theme="1"/>
        <rFont val="Verdana"/>
        <family val="2"/>
      </rPr>
      <t>P+E+M</t>
    </r>
    <r>
      <rPr>
        <sz val="8"/>
        <color theme="1"/>
        <rFont val="Verdana"/>
        <family val="2"/>
      </rPr>
      <t xml:space="preserve"> [buc]</t>
    </r>
  </si>
  <si>
    <t>Teava 
P+E+M
de ofertat
[ml]</t>
  </si>
  <si>
    <t xml:space="preserve">Total 
profile
omega
P+E+M
 </t>
  </si>
  <si>
    <t>Grupuri mixare
P+E+M</t>
  </si>
  <si>
    <t xml:space="preserve"> set 1 x 
Push-Fit
P</t>
  </si>
  <si>
    <t xml:space="preserve">Total
Circuite 
P   </t>
  </si>
  <si>
    <t>TIP
D/C
P</t>
  </si>
  <si>
    <t xml:space="preserve">
set 2 x 
Push-Fit
P</t>
  </si>
  <si>
    <t>Spee trap
P+E+M</t>
  </si>
  <si>
    <t>Spee turn
curba
P+E+M</t>
  </si>
  <si>
    <t>Teava
E de  ofertat
[ml]</t>
  </si>
  <si>
    <t>Calibra-
tor [buc]</t>
  </si>
  <si>
    <t>Adeziv  Speetile
fara izolatie
[buc]</t>
  </si>
  <si>
    <t>Grund SpeeTile fara izolatie
[buc]</t>
  </si>
  <si>
    <t xml:space="preserve">
Actuat.  
E</t>
  </si>
  <si>
    <t xml:space="preserve">
set 1 x 
Push-Fit
E</t>
  </si>
  <si>
    <t xml:space="preserve">Total
Circuite 
E   </t>
  </si>
  <si>
    <t xml:space="preserve">
set 2 x 
Push-Fit
E</t>
  </si>
  <si>
    <t>Sapa egalizare SpeeTile</t>
  </si>
  <si>
    <t>SpeeTack agrafe SpeeTile cu izolatie</t>
  </si>
  <si>
    <t>Teava
M de  ofertat
[ml]</t>
  </si>
  <si>
    <t>Spee Tplug Spee
Tile cu Izolatie</t>
  </si>
  <si>
    <t>Folie reflect
SpeeTile
cu izolatie</t>
  </si>
  <si>
    <t>Banda aluminiu
SpeeTile
cu izolatie</t>
  </si>
  <si>
    <t xml:space="preserve">
set 1 x 
Push-Fit
M</t>
  </si>
  <si>
    <t xml:space="preserve">Total
Circuite 
M   </t>
  </si>
  <si>
    <t>TIP
D/C
M</t>
  </si>
  <si>
    <t xml:space="preserve">
set 2 x 
Push-Fit
M</t>
  </si>
  <si>
    <t>SpeeTile
CU izolatie 
[CU X];
FARA izolatie
[FARA X]</t>
  </si>
  <si>
    <t>Teava MAGNUM PE-RT 5 straturi bariera de oxigen  (aprobat KOMO - SKZ)</t>
  </si>
  <si>
    <t>Incalzire pardoseala inaltime redusa SpeeTile 10 inaltime 12.75 mm sapa fluida</t>
  </si>
  <si>
    <t xml:space="preserve">Incalzire  pardoseala parchet , sistem uscat , fara sapa SpeeTherm 15            </t>
  </si>
  <si>
    <t xml:space="preserve">Incalzire  pardoseala parchet , sistem uscat , fara sapa SpeeTherm 30            </t>
  </si>
  <si>
    <t>Localitate: Voluntari</t>
  </si>
  <si>
    <t>alta destinatie</t>
  </si>
  <si>
    <t>Oferta nr. 834 / 01.04.2026</t>
  </si>
  <si>
    <t>Oferta nr. 2772 / 01.04.2026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</si>
</sst>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164" formatCode="0.0"/>
    <numFmt numFmtId="165" formatCode="#,##0.00;\-#,##0.00;&quot;-&quot;"/>
    <numFmt numFmtId="166" formatCode="&quot;€&quot;\ #,##0.00"/>
  </numFmts>
  <fonts count="64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charset val="238"/>
      <scheme val="minor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sz val="9"/>
      <color rgb="FF000000"/>
      <name val="Verdana"/>
      <family val="2"/>
    </font>
    <font>
      <sz val="9"/>
      <color theme="1"/>
      <name val="Verdana"/>
      <family val="2"/>
    </font>
    <font>
      <b/>
      <sz val="9"/>
      <color rgb="FF000000"/>
      <name val="Verdana"/>
      <family val="2"/>
    </font>
    <font>
      <b/>
      <sz val="9"/>
      <color theme="1"/>
      <name val="Verdana"/>
      <family val="2"/>
    </font>
    <font>
      <sz val="9"/>
      <color theme="1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9"/>
      <name val="Verdana"/>
      <family val="2"/>
    </font>
    <font>
      <sz val="10"/>
      <name val="Arial"/>
      <family val="2"/>
    </font>
    <font>
      <b/>
      <sz val="16"/>
      <color theme="1"/>
      <name val="Verdana"/>
      <family val="2"/>
    </font>
    <font>
      <b/>
      <sz val="16"/>
      <color theme="1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9"/>
      <color rgb="FFFF0000"/>
      <name val="Verdana"/>
      <family val="2"/>
    </font>
    <font>
      <b/>
      <sz val="11"/>
      <color theme="1"/>
      <name val="Calibri"/>
      <family val="2"/>
      <scheme val="minor"/>
    </font>
    <font>
      <sz val="10"/>
      <name val="MS Sans Serif"/>
      <charset val="238"/>
    </font>
    <font>
      <b/>
      <sz val="10"/>
      <name val="Verdana"/>
      <family val="2"/>
    </font>
    <font>
      <b/>
      <sz val="10"/>
      <color rgb="FFFF0000"/>
      <name val="Verdana"/>
      <family val="2"/>
    </font>
    <font>
      <b/>
      <sz val="11"/>
      <color rgb="FFFF0000"/>
      <name val="Verdana"/>
      <family val="2"/>
    </font>
    <font>
      <sz val="10"/>
      <name val="Verdana"/>
      <family val="2"/>
    </font>
    <font>
      <sz val="10"/>
      <name val="MS Sans Serif"/>
      <family val="2"/>
    </font>
    <font>
      <b/>
      <sz val="10"/>
      <color theme="1"/>
      <name val="Calibri"/>
      <family val="2"/>
      <scheme val="minor"/>
    </font>
    <font>
      <b/>
      <sz val="11"/>
      <color theme="1"/>
      <name val="Verdana"/>
      <family val="2"/>
    </font>
    <font>
      <b/>
      <sz val="10"/>
      <name val="MS Sans Serif"/>
      <family val="2"/>
    </font>
    <font>
      <u/>
      <sz val="9"/>
      <color theme="10"/>
      <name val="Verdana"/>
      <family val="2"/>
    </font>
    <font>
      <b/>
      <sz val="9"/>
      <name val="Verdana"/>
      <family val="2"/>
    </font>
    <font>
      <sz val="11"/>
      <color theme="1"/>
      <name val="Calibri"/>
      <family val="2"/>
      <charset val="238"/>
      <scheme val="minor"/>
    </font>
    <font>
      <sz val="8"/>
      <name val="Verdana"/>
      <family val="2"/>
    </font>
    <font>
      <b/>
      <sz val="8"/>
      <name val="Verdana"/>
      <family val="2"/>
    </font>
    <font>
      <sz val="8"/>
      <color theme="1"/>
      <name val="Verdana"/>
      <family val="2"/>
    </font>
    <font>
      <b/>
      <sz val="8"/>
      <color theme="1"/>
      <name val="Verdana"/>
      <family val="2"/>
    </font>
    <font>
      <b/>
      <sz val="14"/>
      <color theme="1"/>
      <name val="Calibri"/>
      <family val="2"/>
      <charset val="238"/>
      <scheme val="minor"/>
    </font>
    <font>
      <b/>
      <sz val="14"/>
      <color theme="1"/>
      <name val="Verdana"/>
      <family val="2"/>
    </font>
    <font>
      <sz val="14"/>
      <color theme="1"/>
      <name val="Calibri"/>
      <family val="2"/>
      <charset val="238"/>
      <scheme val="minor"/>
    </font>
    <font>
      <sz val="9"/>
      <color theme="0"/>
      <name val="Verdana"/>
      <family val="2"/>
    </font>
    <font>
      <b/>
      <sz val="9"/>
      <color theme="0"/>
      <name val="Verdana"/>
      <family val="2"/>
    </font>
    <font>
      <sz val="9"/>
      <color rgb="FFFF0000"/>
      <name val="Verdana"/>
      <family val="2"/>
    </font>
    <font>
      <sz val="10"/>
      <color theme="10"/>
      <name val="Calibri"/>
      <family val="2"/>
      <charset val="238"/>
      <scheme val="minor"/>
    </font>
    <font>
      <sz val="11"/>
      <color theme="10"/>
      <name val="Calibri"/>
      <family val="2"/>
      <charset val="238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1"/>
      <color theme="0"/>
      <name val="Calibri"/>
      <family val="2"/>
      <charset val="238"/>
      <scheme val="minor"/>
    </font>
    <font>
      <sz val="10"/>
      <color theme="0"/>
      <name val="Verdana"/>
      <family val="2"/>
    </font>
    <font>
      <sz val="11"/>
      <name val="Calibri"/>
      <family val="2"/>
      <charset val="238"/>
      <scheme val="minor"/>
    </font>
    <font>
      <b/>
      <sz val="1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9"/>
      <color theme="10"/>
      <name val="Calibri"/>
      <family val="2"/>
      <charset val="238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20"/>
      <color rgb="FFFF0000"/>
      <name val="Verdana"/>
      <family val="2"/>
    </font>
    <font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0FE73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8BF03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59999389629810485"/>
        <bgColor indexed="64"/>
      </patternFill>
    </fill>
  </fills>
  <borders count="58">
    <border>
      <left/>
      <right/>
      <top/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/>
      <diagonal/>
    </border>
    <border>
      <left/>
      <right style="medium">
        <color indexed="64"/>
      </right>
      <top/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ck">
        <color indexed="64"/>
      </bottom>
      <diagonal/>
    </border>
    <border>
      <left style="thick">
        <color indexed="64"/>
      </left>
      <right/>
      <top style="medium">
        <color indexed="64"/>
      </top>
      <bottom style="thick">
        <color indexed="64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thick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ck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/>
      <right style="medium">
        <color indexed="64"/>
      </right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/>
      <right style="thick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0">
    <xf numFmtId="0" fontId="0" fillId="0" borderId="0"/>
    <xf numFmtId="0" fontId="6" fillId="0" borderId="0" applyNumberFormat="0" applyFill="0" applyBorder="0" applyAlignment="0" applyProtection="0"/>
    <xf numFmtId="0" fontId="18" fillId="0" borderId="0"/>
    <xf numFmtId="0" fontId="25" fillId="0" borderId="0"/>
    <xf numFmtId="0" fontId="5" fillId="0" borderId="0"/>
    <xf numFmtId="0" fontId="18" fillId="0" borderId="0"/>
    <xf numFmtId="0" fontId="4" fillId="0" borderId="0"/>
    <xf numFmtId="0" fontId="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0"/>
    <xf numFmtId="0" fontId="4" fillId="0" borderId="0"/>
    <xf numFmtId="0" fontId="18" fillId="0" borderId="0"/>
    <xf numFmtId="0" fontId="4" fillId="0" borderId="0"/>
    <xf numFmtId="0" fontId="18" fillId="0" borderId="0"/>
    <xf numFmtId="0" fontId="4" fillId="0" borderId="0"/>
    <xf numFmtId="0" fontId="18" fillId="0" borderId="0"/>
    <xf numFmtId="0" fontId="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8" fillId="0" borderId="0"/>
    <xf numFmtId="0" fontId="18" fillId="0" borderId="0"/>
    <xf numFmtId="0" fontId="4" fillId="0" borderId="0"/>
    <xf numFmtId="0" fontId="4" fillId="0" borderId="0"/>
    <xf numFmtId="0" fontId="4" fillId="0" borderId="0"/>
    <xf numFmtId="0" fontId="18" fillId="0" borderId="0"/>
    <xf numFmtId="0" fontId="18" fillId="0" borderId="0"/>
    <xf numFmtId="0" fontId="4" fillId="0" borderId="0"/>
    <xf numFmtId="0" fontId="18" fillId="0" borderId="0"/>
    <xf numFmtId="0" fontId="18" fillId="0" borderId="0"/>
    <xf numFmtId="0" fontId="18" fillId="0" borderId="0"/>
    <xf numFmtId="44" fontId="36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2" fillId="0" borderId="0"/>
    <xf numFmtId="0" fontId="2" fillId="0" borderId="0"/>
  </cellStyleXfs>
  <cellXfs count="634">
    <xf numFmtId="0" fontId="0" fillId="0" borderId="0" xfId="0"/>
    <xf numFmtId="0" fontId="7" fillId="0" borderId="0" xfId="0" applyFont="1" applyAlignment="1">
      <alignment vertical="center"/>
    </xf>
    <xf numFmtId="0" fontId="9" fillId="0" borderId="8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8" fillId="0" borderId="0" xfId="0" applyFont="1" applyAlignment="1">
      <alignment vertical="center" wrapText="1"/>
    </xf>
    <xf numFmtId="0" fontId="0" fillId="0" borderId="0" xfId="0" applyAlignment="1">
      <alignment wrapText="1"/>
    </xf>
    <xf numFmtId="0" fontId="11" fillId="0" borderId="1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10" fillId="0" borderId="8" xfId="0" applyFont="1" applyBorder="1" applyAlignment="1">
      <alignment vertical="center" wrapText="1"/>
    </xf>
    <xf numFmtId="0" fontId="12" fillId="0" borderId="0" xfId="0" applyFont="1" applyAlignment="1">
      <alignment vertical="center" wrapText="1"/>
    </xf>
    <xf numFmtId="0" fontId="13" fillId="0" borderId="0" xfId="0" applyFont="1" applyAlignment="1">
      <alignment wrapText="1"/>
    </xf>
    <xf numFmtId="0" fontId="10" fillId="0" borderId="0" xfId="0" applyFont="1" applyAlignment="1">
      <alignment vertical="center" wrapText="1"/>
    </xf>
    <xf numFmtId="0" fontId="11" fillId="0" borderId="14" xfId="0" applyFont="1" applyBorder="1" applyAlignment="1">
      <alignment horizontal="center" vertical="center" wrapText="1"/>
    </xf>
    <xf numFmtId="0" fontId="11" fillId="0" borderId="15" xfId="0" applyFont="1" applyBorder="1" applyAlignment="1">
      <alignment horizontal="center" vertical="center" wrapText="1"/>
    </xf>
    <xf numFmtId="0" fontId="11" fillId="0" borderId="16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 wrapText="1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vertical="center"/>
    </xf>
    <xf numFmtId="0" fontId="13" fillId="0" borderId="0" xfId="0" applyFont="1"/>
    <xf numFmtId="0" fontId="14" fillId="0" borderId="0" xfId="1" applyFont="1" applyAlignment="1">
      <alignment horizontal="left" vertical="center"/>
    </xf>
    <xf numFmtId="0" fontId="11" fillId="0" borderId="20" xfId="0" applyFont="1" applyBorder="1" applyAlignment="1">
      <alignment vertical="center" wrapText="1"/>
    </xf>
    <xf numFmtId="0" fontId="9" fillId="0" borderId="21" xfId="0" applyFont="1" applyBorder="1" applyAlignment="1">
      <alignment horizontal="center" vertical="center" wrapText="1"/>
    </xf>
    <xf numFmtId="0" fontId="9" fillId="3" borderId="8" xfId="0" applyFont="1" applyFill="1" applyBorder="1" applyAlignment="1">
      <alignment horizontal="center" vertical="center" wrapText="1"/>
    </xf>
    <xf numFmtId="0" fontId="10" fillId="3" borderId="8" xfId="0" applyFont="1" applyFill="1" applyBorder="1" applyAlignment="1">
      <alignment horizontal="center" vertical="center" wrapText="1"/>
    </xf>
    <xf numFmtId="0" fontId="10" fillId="3" borderId="8" xfId="0" applyFont="1" applyFill="1" applyBorder="1" applyAlignment="1">
      <alignment vertical="center" wrapText="1"/>
    </xf>
    <xf numFmtId="0" fontId="0" fillId="3" borderId="0" xfId="0" applyFill="1" applyAlignment="1">
      <alignment wrapText="1"/>
    </xf>
    <xf numFmtId="2" fontId="11" fillId="0" borderId="9" xfId="0" applyNumberFormat="1" applyFont="1" applyBorder="1" applyAlignment="1">
      <alignment horizontal="center" vertical="center" wrapText="1"/>
    </xf>
    <xf numFmtId="0" fontId="11" fillId="0" borderId="19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10" fillId="0" borderId="15" xfId="0" applyFont="1" applyBorder="1" applyAlignment="1">
      <alignment vertical="center" wrapText="1"/>
    </xf>
    <xf numFmtId="2" fontId="11" fillId="0" borderId="16" xfId="0" applyNumberFormat="1" applyFont="1" applyBorder="1" applyAlignment="1">
      <alignment horizontal="center" vertical="center" wrapText="1"/>
    </xf>
    <xf numFmtId="0" fontId="11" fillId="2" borderId="27" xfId="0" applyFont="1" applyFill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4" fontId="11" fillId="0" borderId="16" xfId="0" applyNumberFormat="1" applyFont="1" applyBorder="1" applyAlignment="1">
      <alignment horizontal="center" vertical="center" wrapText="1"/>
    </xf>
    <xf numFmtId="0" fontId="11" fillId="0" borderId="25" xfId="0" applyFont="1" applyBorder="1" applyAlignment="1">
      <alignment horizontal="center" vertical="center" wrapText="1"/>
    </xf>
    <xf numFmtId="0" fontId="11" fillId="0" borderId="26" xfId="0" applyFont="1" applyBorder="1" applyAlignment="1">
      <alignment horizontal="center" vertical="center" wrapText="1"/>
    </xf>
    <xf numFmtId="0" fontId="22" fillId="0" borderId="0" xfId="0" applyFont="1"/>
    <xf numFmtId="0" fontId="21" fillId="0" borderId="0" xfId="1" applyFont="1" applyAlignment="1"/>
    <xf numFmtId="0" fontId="0" fillId="0" borderId="0" xfId="0" applyAlignment="1">
      <alignment horizontal="center" vertical="center" wrapText="1"/>
    </xf>
    <xf numFmtId="9" fontId="23" fillId="0" borderId="25" xfId="0" applyNumberFormat="1" applyFont="1" applyBorder="1" applyAlignment="1">
      <alignment horizontal="center" vertical="center" wrapText="1"/>
    </xf>
    <xf numFmtId="4" fontId="23" fillId="0" borderId="27" xfId="0" applyNumberFormat="1" applyFont="1" applyBorder="1" applyAlignment="1">
      <alignment horizontal="center" vertical="center" wrapText="1"/>
    </xf>
    <xf numFmtId="0" fontId="29" fillId="0" borderId="0" xfId="3" applyFont="1" applyAlignment="1">
      <alignment horizontal="left" vertical="center" wrapText="1"/>
    </xf>
    <xf numFmtId="0" fontId="30" fillId="0" borderId="0" xfId="3" applyFont="1" applyAlignment="1">
      <alignment wrapText="1"/>
    </xf>
    <xf numFmtId="0" fontId="32" fillId="0" borderId="0" xfId="0" applyFont="1" applyAlignment="1">
      <alignment horizontal="center" vertical="center" wrapText="1"/>
    </xf>
    <xf numFmtId="0" fontId="29" fillId="0" borderId="0" xfId="3" applyFont="1" applyAlignment="1">
      <alignment wrapText="1"/>
    </xf>
    <xf numFmtId="0" fontId="11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35" fillId="0" borderId="23" xfId="3" applyFont="1" applyBorder="1" applyAlignment="1">
      <alignment horizontal="center" vertical="center" wrapText="1"/>
    </xf>
    <xf numFmtId="0" fontId="35" fillId="0" borderId="0" xfId="3" applyFont="1" applyAlignment="1">
      <alignment horizontal="center" vertical="center" wrapText="1"/>
    </xf>
    <xf numFmtId="2" fontId="35" fillId="0" borderId="23" xfId="3" applyNumberFormat="1" applyFont="1" applyBorder="1" applyAlignment="1">
      <alignment horizontal="left" vertical="center" wrapText="1"/>
    </xf>
    <xf numFmtId="2" fontId="35" fillId="2" borderId="23" xfId="3" applyNumberFormat="1" applyFont="1" applyFill="1" applyBorder="1" applyAlignment="1">
      <alignment horizontal="center" vertical="center" wrapText="1"/>
    </xf>
    <xf numFmtId="2" fontId="35" fillId="5" borderId="23" xfId="3" applyNumberFormat="1" applyFont="1" applyFill="1" applyBorder="1" applyAlignment="1">
      <alignment horizontal="center" vertical="center" wrapText="1"/>
    </xf>
    <xf numFmtId="2" fontId="35" fillId="3" borderId="23" xfId="3" applyNumberFormat="1" applyFont="1" applyFill="1" applyBorder="1" applyAlignment="1">
      <alignment horizontal="left" vertical="center" wrapText="1"/>
    </xf>
    <xf numFmtId="0" fontId="23" fillId="6" borderId="23" xfId="0" applyFont="1" applyFill="1" applyBorder="1" applyAlignment="1">
      <alignment horizontal="left" vertical="center" wrapText="1"/>
    </xf>
    <xf numFmtId="2" fontId="35" fillId="6" borderId="23" xfId="3" applyNumberFormat="1" applyFont="1" applyFill="1" applyBorder="1" applyAlignment="1">
      <alignment horizontal="center" vertical="center" wrapText="1"/>
    </xf>
    <xf numFmtId="1" fontId="23" fillId="6" borderId="23" xfId="3" applyNumberFormat="1" applyFont="1" applyFill="1" applyBorder="1" applyAlignment="1">
      <alignment horizontal="center" vertical="center" wrapText="1"/>
    </xf>
    <xf numFmtId="0" fontId="23" fillId="6" borderId="23" xfId="3" applyFont="1" applyFill="1" applyBorder="1" applyAlignment="1">
      <alignment horizontal="center" vertical="center" wrapText="1"/>
    </xf>
    <xf numFmtId="2" fontId="23" fillId="6" borderId="23" xfId="0" applyNumberFormat="1" applyFont="1" applyFill="1" applyBorder="1" applyAlignment="1">
      <alignment horizontal="center" vertical="center" wrapText="1"/>
    </xf>
    <xf numFmtId="0" fontId="23" fillId="0" borderId="0" xfId="3" applyFont="1" applyAlignment="1">
      <alignment horizontal="center" vertical="center" wrapText="1"/>
    </xf>
    <xf numFmtId="2" fontId="17" fillId="3" borderId="23" xfId="3" applyNumberFormat="1" applyFont="1" applyFill="1" applyBorder="1" applyAlignment="1">
      <alignment horizontal="center" vertical="center" wrapText="1"/>
    </xf>
    <xf numFmtId="2" fontId="17" fillId="0" borderId="23" xfId="3" applyNumberFormat="1" applyFont="1" applyBorder="1" applyAlignment="1">
      <alignment horizontal="center" vertical="center" wrapText="1"/>
    </xf>
    <xf numFmtId="0" fontId="0" fillId="3" borderId="0" xfId="0" applyFill="1"/>
    <xf numFmtId="2" fontId="23" fillId="0" borderId="0" xfId="0" applyNumberFormat="1" applyFont="1" applyAlignment="1">
      <alignment horizontal="center" vertical="center" wrapText="1"/>
    </xf>
    <xf numFmtId="2" fontId="17" fillId="3" borderId="29" xfId="3" applyNumberFormat="1" applyFont="1" applyFill="1" applyBorder="1" applyAlignment="1">
      <alignment horizontal="center" vertical="center" wrapText="1"/>
    </xf>
    <xf numFmtId="0" fontId="19" fillId="3" borderId="0" xfId="0" applyFont="1" applyFill="1" applyAlignment="1">
      <alignment horizontal="center" vertical="center" wrapText="1"/>
    </xf>
    <xf numFmtId="2" fontId="27" fillId="3" borderId="0" xfId="3" applyNumberFormat="1" applyFont="1" applyFill="1" applyAlignment="1">
      <alignment horizontal="center" vertical="center" wrapText="1"/>
    </xf>
    <xf numFmtId="0" fontId="28" fillId="3" borderId="0" xfId="0" applyFont="1" applyFill="1" applyAlignment="1">
      <alignment horizontal="center" vertical="center" wrapText="1"/>
    </xf>
    <xf numFmtId="0" fontId="11" fillId="2" borderId="25" xfId="0" applyFont="1" applyFill="1" applyBorder="1" applyAlignment="1">
      <alignment vertical="center" wrapText="1"/>
    </xf>
    <xf numFmtId="2" fontId="35" fillId="10" borderId="23" xfId="3" applyNumberFormat="1" applyFont="1" applyFill="1" applyBorder="1" applyAlignment="1">
      <alignment horizontal="center" vertical="center" wrapText="1"/>
    </xf>
    <xf numFmtId="0" fontId="26" fillId="0" borderId="0" xfId="3" applyFont="1" applyAlignment="1">
      <alignment horizontal="left" vertical="center" wrapText="1"/>
    </xf>
    <xf numFmtId="0" fontId="26" fillId="0" borderId="0" xfId="3" applyFont="1" applyAlignment="1">
      <alignment horizontal="center" vertical="center" wrapText="1"/>
    </xf>
    <xf numFmtId="2" fontId="26" fillId="0" borderId="0" xfId="3" applyNumberFormat="1" applyFont="1" applyAlignment="1">
      <alignment horizontal="left" vertical="center" wrapText="1"/>
    </xf>
    <xf numFmtId="2" fontId="26" fillId="0" borderId="0" xfId="3" applyNumberFormat="1" applyFont="1" applyAlignment="1">
      <alignment horizontal="center" vertical="center" wrapText="1"/>
    </xf>
    <xf numFmtId="2" fontId="26" fillId="3" borderId="0" xfId="3" applyNumberFormat="1" applyFont="1" applyFill="1" applyAlignment="1">
      <alignment horizontal="left" vertical="center" wrapText="1"/>
    </xf>
    <xf numFmtId="2" fontId="26" fillId="3" borderId="0" xfId="3" applyNumberFormat="1" applyFont="1" applyFill="1" applyAlignment="1">
      <alignment horizontal="center" vertical="center" wrapText="1"/>
    </xf>
    <xf numFmtId="2" fontId="27" fillId="0" borderId="0" xfId="3" applyNumberFormat="1" applyFont="1" applyAlignment="1">
      <alignment horizontal="center" vertical="center" wrapText="1"/>
    </xf>
    <xf numFmtId="0" fontId="27" fillId="0" borderId="0" xfId="3" applyFont="1" applyAlignment="1">
      <alignment horizontal="center" vertical="center" wrapText="1"/>
    </xf>
    <xf numFmtId="0" fontId="33" fillId="0" borderId="0" xfId="3" applyFont="1" applyAlignment="1">
      <alignment horizontal="center" vertical="center" wrapText="1"/>
    </xf>
    <xf numFmtId="0" fontId="26" fillId="3" borderId="0" xfId="3" applyFont="1" applyFill="1" applyAlignment="1">
      <alignment horizontal="center" vertical="center" wrapText="1"/>
    </xf>
    <xf numFmtId="0" fontId="7" fillId="3" borderId="0" xfId="0" applyFont="1" applyFill="1" applyAlignment="1">
      <alignment horizontal="center" vertical="center" wrapText="1"/>
    </xf>
    <xf numFmtId="0" fontId="27" fillId="3" borderId="0" xfId="3" applyFont="1" applyFill="1" applyAlignment="1">
      <alignment horizontal="center" vertical="center" wrapText="1"/>
    </xf>
    <xf numFmtId="0" fontId="27" fillId="3" borderId="0" xfId="0" applyFont="1" applyFill="1" applyAlignment="1">
      <alignment horizontal="center" vertical="center"/>
    </xf>
    <xf numFmtId="0" fontId="26" fillId="3" borderId="0" xfId="3" applyFont="1" applyFill="1" applyAlignment="1">
      <alignment horizontal="left" vertical="center" wrapText="1"/>
    </xf>
    <xf numFmtId="0" fontId="24" fillId="3" borderId="0" xfId="0" applyFont="1" applyFill="1" applyAlignment="1">
      <alignment horizontal="center" vertical="center"/>
    </xf>
    <xf numFmtId="0" fontId="30" fillId="3" borderId="0" xfId="3" applyFont="1" applyFill="1" applyAlignment="1">
      <alignment wrapText="1"/>
    </xf>
    <xf numFmtId="2" fontId="27" fillId="3" borderId="0" xfId="3" applyNumberFormat="1" applyFont="1" applyFill="1" applyAlignment="1">
      <alignment horizontal="center" wrapText="1"/>
    </xf>
    <xf numFmtId="0" fontId="24" fillId="3" borderId="0" xfId="0" applyFont="1" applyFill="1"/>
    <xf numFmtId="2" fontId="27" fillId="0" borderId="0" xfId="0" applyNumberFormat="1" applyFont="1" applyAlignment="1">
      <alignment horizontal="left" vertical="center" wrapText="1"/>
    </xf>
    <xf numFmtId="2" fontId="11" fillId="0" borderId="23" xfId="0" applyNumberFormat="1" applyFont="1" applyBorder="1" applyAlignment="1">
      <alignment horizontal="center" vertical="center" wrapText="1"/>
    </xf>
    <xf numFmtId="4" fontId="23" fillId="0" borderId="23" xfId="0" applyNumberFormat="1" applyFont="1" applyBorder="1" applyAlignment="1">
      <alignment horizontal="center" vertical="center" wrapText="1"/>
    </xf>
    <xf numFmtId="2" fontId="23" fillId="0" borderId="23" xfId="0" applyNumberFormat="1" applyFont="1" applyBorder="1" applyAlignment="1">
      <alignment horizontal="center" vertical="center" wrapText="1"/>
    </xf>
    <xf numFmtId="2" fontId="23" fillId="0" borderId="30" xfId="0" applyNumberFormat="1" applyFont="1" applyBorder="1" applyAlignment="1">
      <alignment horizontal="center" vertical="center" wrapText="1"/>
    </xf>
    <xf numFmtId="0" fontId="29" fillId="3" borderId="0" xfId="3" applyFont="1" applyFill="1" applyAlignment="1">
      <alignment horizontal="left" vertical="center" wrapText="1"/>
    </xf>
    <xf numFmtId="0" fontId="29" fillId="3" borderId="0" xfId="3" applyFont="1" applyFill="1" applyAlignment="1">
      <alignment wrapText="1"/>
    </xf>
    <xf numFmtId="0" fontId="32" fillId="3" borderId="0" xfId="0" applyFont="1" applyFill="1" applyAlignment="1">
      <alignment horizontal="center" vertical="center" wrapText="1"/>
    </xf>
    <xf numFmtId="0" fontId="33" fillId="3" borderId="0" xfId="3" applyFont="1" applyFill="1" applyAlignment="1">
      <alignment horizontal="center" vertical="center" wrapText="1"/>
    </xf>
    <xf numFmtId="2" fontId="27" fillId="3" borderId="0" xfId="0" applyNumberFormat="1" applyFont="1" applyFill="1" applyAlignment="1">
      <alignment horizontal="left" vertical="center" wrapText="1"/>
    </xf>
    <xf numFmtId="2" fontId="35" fillId="3" borderId="23" xfId="3" applyNumberFormat="1" applyFont="1" applyFill="1" applyBorder="1" applyAlignment="1">
      <alignment horizontal="center" vertical="center" wrapText="1"/>
    </xf>
    <xf numFmtId="0" fontId="12" fillId="3" borderId="23" xfId="0" applyFont="1" applyFill="1" applyBorder="1" applyAlignment="1">
      <alignment horizontal="center" vertical="center"/>
    </xf>
    <xf numFmtId="0" fontId="23" fillId="8" borderId="23" xfId="0" applyFont="1" applyFill="1" applyBorder="1" applyAlignment="1">
      <alignment horizontal="center" vertical="center"/>
    </xf>
    <xf numFmtId="1" fontId="9" fillId="0" borderId="8" xfId="0" applyNumberFormat="1" applyFont="1" applyBorder="1" applyAlignment="1">
      <alignment horizontal="center" vertical="center" wrapText="1"/>
    </xf>
    <xf numFmtId="0" fontId="37" fillId="3" borderId="29" xfId="3" applyFont="1" applyFill="1" applyBorder="1" applyAlignment="1">
      <alignment horizontal="center" vertical="center" wrapText="1"/>
    </xf>
    <xf numFmtId="0" fontId="37" fillId="3" borderId="23" xfId="3" applyFont="1" applyFill="1" applyBorder="1" applyAlignment="1">
      <alignment horizontal="center" vertical="center" wrapText="1"/>
    </xf>
    <xf numFmtId="0" fontId="38" fillId="5" borderId="29" xfId="3" applyFont="1" applyFill="1" applyBorder="1" applyAlignment="1">
      <alignment horizontal="center" vertical="center" wrapText="1"/>
    </xf>
    <xf numFmtId="0" fontId="39" fillId="3" borderId="23" xfId="0" applyFont="1" applyFill="1" applyBorder="1" applyAlignment="1">
      <alignment horizontal="center" vertical="center" wrapText="1"/>
    </xf>
    <xf numFmtId="0" fontId="40" fillId="7" borderId="23" xfId="0" applyFont="1" applyFill="1" applyBorder="1" applyAlignment="1">
      <alignment horizontal="center" vertical="center" wrapText="1"/>
    </xf>
    <xf numFmtId="0" fontId="38" fillId="3" borderId="27" xfId="3" applyFont="1" applyFill="1" applyBorder="1" applyAlignment="1">
      <alignment horizontal="center" vertical="center" wrapText="1"/>
    </xf>
    <xf numFmtId="0" fontId="40" fillId="8" borderId="23" xfId="0" applyFont="1" applyFill="1" applyBorder="1" applyAlignment="1">
      <alignment horizontal="center" vertical="center" wrapText="1"/>
    </xf>
    <xf numFmtId="0" fontId="40" fillId="3" borderId="23" xfId="0" applyFont="1" applyFill="1" applyBorder="1" applyAlignment="1">
      <alignment horizontal="center" vertical="center" wrapText="1"/>
    </xf>
    <xf numFmtId="0" fontId="39" fillId="0" borderId="0" xfId="0" applyFont="1"/>
    <xf numFmtId="0" fontId="38" fillId="3" borderId="23" xfId="3" applyFont="1" applyFill="1" applyBorder="1" applyAlignment="1">
      <alignment horizontal="center" vertical="center" wrapText="1"/>
    </xf>
    <xf numFmtId="0" fontId="39" fillId="0" borderId="23" xfId="0" applyFont="1" applyBorder="1" applyAlignment="1">
      <alignment horizontal="center" vertical="center" wrapText="1"/>
    </xf>
    <xf numFmtId="0" fontId="38" fillId="8" borderId="23" xfId="0" applyFont="1" applyFill="1" applyBorder="1" applyAlignment="1">
      <alignment horizontal="center" vertical="center" wrapText="1"/>
    </xf>
    <xf numFmtId="0" fontId="39" fillId="0" borderId="0" xfId="0" applyFont="1" applyAlignment="1">
      <alignment wrapText="1"/>
    </xf>
    <xf numFmtId="0" fontId="23" fillId="8" borderId="0" xfId="0" applyFont="1" applyFill="1" applyAlignment="1">
      <alignment horizontal="center" vertical="center"/>
    </xf>
    <xf numFmtId="1" fontId="17" fillId="3" borderId="29" xfId="3" applyNumberFormat="1" applyFont="1" applyFill="1" applyBorder="1" applyAlignment="1">
      <alignment horizontal="center" vertical="center" wrapText="1"/>
    </xf>
    <xf numFmtId="164" fontId="17" fillId="3" borderId="23" xfId="3" applyNumberFormat="1" applyFont="1" applyFill="1" applyBorder="1" applyAlignment="1">
      <alignment horizontal="center" vertical="center" wrapText="1"/>
    </xf>
    <xf numFmtId="1" fontId="17" fillId="3" borderId="23" xfId="0" applyNumberFormat="1" applyFont="1" applyFill="1" applyBorder="1" applyAlignment="1">
      <alignment horizontal="center" vertical="center"/>
    </xf>
    <xf numFmtId="0" fontId="10" fillId="3" borderId="23" xfId="0" applyFont="1" applyFill="1" applyBorder="1" applyAlignment="1">
      <alignment horizontal="center" vertical="center"/>
    </xf>
    <xf numFmtId="1" fontId="17" fillId="3" borderId="23" xfId="3" applyNumberFormat="1" applyFont="1" applyFill="1" applyBorder="1" applyAlignment="1">
      <alignment horizontal="center" vertical="center" wrapText="1"/>
    </xf>
    <xf numFmtId="2" fontId="12" fillId="3" borderId="23" xfId="0" applyNumberFormat="1" applyFont="1" applyFill="1" applyBorder="1" applyAlignment="1">
      <alignment horizontal="center" vertical="center"/>
    </xf>
    <xf numFmtId="0" fontId="23" fillId="3" borderId="23" xfId="0" applyFont="1" applyFill="1" applyBorder="1" applyAlignment="1">
      <alignment horizontal="center" vertical="center"/>
    </xf>
    <xf numFmtId="2" fontId="23" fillId="3" borderId="23" xfId="0" applyNumberFormat="1" applyFont="1" applyFill="1" applyBorder="1" applyAlignment="1">
      <alignment horizontal="center" vertical="center"/>
    </xf>
    <xf numFmtId="0" fontId="38" fillId="8" borderId="23" xfId="3" applyFont="1" applyFill="1" applyBorder="1" applyAlignment="1">
      <alignment horizontal="center" vertical="center" wrapText="1"/>
    </xf>
    <xf numFmtId="2" fontId="23" fillId="8" borderId="23" xfId="0" applyNumberFormat="1" applyFont="1" applyFill="1" applyBorder="1" applyAlignment="1">
      <alignment horizontal="center" vertical="center"/>
    </xf>
    <xf numFmtId="0" fontId="23" fillId="8" borderId="30" xfId="0" applyFont="1" applyFill="1" applyBorder="1" applyAlignment="1">
      <alignment horizontal="center" vertical="center"/>
    </xf>
    <xf numFmtId="0" fontId="38" fillId="10" borderId="29" xfId="3" applyFont="1" applyFill="1" applyBorder="1" applyAlignment="1">
      <alignment horizontal="center" vertical="center" wrapText="1"/>
    </xf>
    <xf numFmtId="0" fontId="9" fillId="0" borderId="15" xfId="0" quotePrefix="1" applyFont="1" applyBorder="1" applyAlignment="1">
      <alignment horizontal="center" vertical="center" wrapText="1"/>
    </xf>
    <xf numFmtId="1" fontId="9" fillId="0" borderId="15" xfId="0" applyNumberFormat="1" applyFont="1" applyBorder="1" applyAlignment="1">
      <alignment horizontal="center" vertical="center" wrapText="1"/>
    </xf>
    <xf numFmtId="0" fontId="9" fillId="0" borderId="8" xfId="0" quotePrefix="1" applyFont="1" applyBorder="1" applyAlignment="1">
      <alignment horizontal="center" vertical="center" wrapText="1"/>
    </xf>
    <xf numFmtId="0" fontId="40" fillId="9" borderId="23" xfId="0" applyFont="1" applyFill="1" applyBorder="1" applyAlignment="1">
      <alignment horizontal="center" vertical="center" wrapText="1"/>
    </xf>
    <xf numFmtId="0" fontId="35" fillId="9" borderId="23" xfId="0" applyFont="1" applyFill="1" applyBorder="1" applyAlignment="1">
      <alignment horizontal="center" vertical="center"/>
    </xf>
    <xf numFmtId="0" fontId="35" fillId="3" borderId="23" xfId="0" applyFont="1" applyFill="1" applyBorder="1" applyAlignment="1">
      <alignment horizontal="center" vertical="center"/>
    </xf>
    <xf numFmtId="1" fontId="17" fillId="0" borderId="23" xfId="3" applyNumberFormat="1" applyFont="1" applyBorder="1" applyAlignment="1">
      <alignment horizontal="center" vertical="center" wrapText="1"/>
    </xf>
    <xf numFmtId="0" fontId="17" fillId="0" borderId="23" xfId="3" applyFont="1" applyBorder="1" applyAlignment="1">
      <alignment horizontal="center" vertical="center" wrapText="1"/>
    </xf>
    <xf numFmtId="0" fontId="38" fillId="2" borderId="29" xfId="3" applyFont="1" applyFill="1" applyBorder="1" applyAlignment="1">
      <alignment horizontal="center" vertical="center" wrapText="1"/>
    </xf>
    <xf numFmtId="0" fontId="11" fillId="5" borderId="25" xfId="0" applyFont="1" applyFill="1" applyBorder="1" applyAlignment="1">
      <alignment vertical="center" wrapText="1"/>
    </xf>
    <xf numFmtId="0" fontId="11" fillId="5" borderId="27" xfId="0" applyFont="1" applyFill="1" applyBorder="1" applyAlignment="1">
      <alignment horizontal="center" vertical="center" wrapText="1"/>
    </xf>
    <xf numFmtId="1" fontId="11" fillId="2" borderId="25" xfId="0" applyNumberFormat="1" applyFont="1" applyFill="1" applyBorder="1" applyAlignment="1">
      <alignment horizontal="left" vertical="center" wrapText="1"/>
    </xf>
    <xf numFmtId="1" fontId="11" fillId="5" borderId="25" xfId="0" applyNumberFormat="1" applyFont="1" applyFill="1" applyBorder="1" applyAlignment="1">
      <alignment horizontal="left" vertical="center" wrapText="1"/>
    </xf>
    <xf numFmtId="1" fontId="7" fillId="2" borderId="0" xfId="0" applyNumberFormat="1" applyFont="1" applyFill="1" applyAlignment="1">
      <alignment horizontal="center" vertical="center" wrapText="1"/>
    </xf>
    <xf numFmtId="0" fontId="7" fillId="2" borderId="0" xfId="0" applyFont="1" applyFill="1" applyAlignment="1">
      <alignment horizontal="left" vertical="center" wrapText="1"/>
    </xf>
    <xf numFmtId="1" fontId="10" fillId="4" borderId="8" xfId="0" applyNumberFormat="1" applyFont="1" applyFill="1" applyBorder="1" applyAlignment="1">
      <alignment horizontal="center" vertical="center" wrapText="1"/>
    </xf>
    <xf numFmtId="0" fontId="43" fillId="0" borderId="0" xfId="0" applyFont="1"/>
    <xf numFmtId="0" fontId="35" fillId="11" borderId="23" xfId="3" applyFont="1" applyFill="1" applyBorder="1" applyAlignment="1">
      <alignment horizontal="center" vertical="center" wrapText="1"/>
    </xf>
    <xf numFmtId="0" fontId="11" fillId="0" borderId="27" xfId="0" applyFont="1" applyBorder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2" fontId="45" fillId="3" borderId="23" xfId="3" applyNumberFormat="1" applyFont="1" applyFill="1" applyBorder="1" applyAlignment="1">
      <alignment horizontal="center" vertical="center" wrapText="1"/>
    </xf>
    <xf numFmtId="0" fontId="38" fillId="3" borderId="29" xfId="3" applyFont="1" applyFill="1" applyBorder="1" applyAlignment="1">
      <alignment horizontal="center" vertical="center" wrapText="1"/>
    </xf>
    <xf numFmtId="2" fontId="44" fillId="3" borderId="23" xfId="3" applyNumberFormat="1" applyFont="1" applyFill="1" applyBorder="1" applyAlignment="1">
      <alignment horizontal="center" vertical="center" wrapText="1"/>
    </xf>
    <xf numFmtId="0" fontId="37" fillId="0" borderId="23" xfId="0" applyFont="1" applyBorder="1" applyAlignment="1">
      <alignment horizontal="center" vertical="center" wrapText="1"/>
    </xf>
    <xf numFmtId="1" fontId="46" fillId="8" borderId="23" xfId="3" applyNumberFormat="1" applyFont="1" applyFill="1" applyBorder="1" applyAlignment="1">
      <alignment horizontal="center" vertical="center" wrapText="1"/>
    </xf>
    <xf numFmtId="1" fontId="10" fillId="3" borderId="8" xfId="0" applyNumberFormat="1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4" xfId="0" applyFont="1" applyBorder="1" applyAlignment="1">
      <alignment vertical="center" wrapText="1"/>
    </xf>
    <xf numFmtId="2" fontId="11" fillId="0" borderId="6" xfId="0" applyNumberFormat="1" applyFont="1" applyBorder="1" applyAlignment="1">
      <alignment horizontal="center" vertical="center" wrapText="1"/>
    </xf>
    <xf numFmtId="0" fontId="12" fillId="0" borderId="25" xfId="0" applyFont="1" applyBorder="1" applyAlignment="1">
      <alignment vertical="center" wrapText="1"/>
    </xf>
    <xf numFmtId="2" fontId="11" fillId="0" borderId="27" xfId="0" applyNumberFormat="1" applyFont="1" applyBorder="1" applyAlignment="1">
      <alignment horizontal="center" vertical="center" wrapText="1"/>
    </xf>
    <xf numFmtId="0" fontId="38" fillId="8" borderId="33" xfId="3" applyFont="1" applyFill="1" applyBorder="1" applyAlignment="1">
      <alignment horizontal="center" vertical="center" wrapText="1"/>
    </xf>
    <xf numFmtId="1" fontId="23" fillId="8" borderId="23" xfId="3" applyNumberFormat="1" applyFont="1" applyFill="1" applyBorder="1" applyAlignment="1">
      <alignment horizontal="center" vertical="center" wrapText="1"/>
    </xf>
    <xf numFmtId="1" fontId="10" fillId="3" borderId="15" xfId="0" applyNumberFormat="1" applyFont="1" applyFill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/>
    </xf>
    <xf numFmtId="0" fontId="38" fillId="8" borderId="27" xfId="3" applyFont="1" applyFill="1" applyBorder="1" applyAlignment="1">
      <alignment horizontal="center" vertical="center" wrapText="1"/>
    </xf>
    <xf numFmtId="0" fontId="37" fillId="8" borderId="23" xfId="3" applyFont="1" applyFill="1" applyBorder="1" applyAlignment="1">
      <alignment horizontal="center" vertical="center" wrapText="1"/>
    </xf>
    <xf numFmtId="1" fontId="23" fillId="8" borderId="23" xfId="0" applyNumberFormat="1" applyFont="1" applyFill="1" applyBorder="1" applyAlignment="1">
      <alignment horizontal="center" vertical="center"/>
    </xf>
    <xf numFmtId="0" fontId="7" fillId="2" borderId="0" xfId="0" applyFont="1" applyFill="1" applyAlignment="1">
      <alignment vertical="center" wrapText="1"/>
    </xf>
    <xf numFmtId="0" fontId="11" fillId="0" borderId="32" xfId="0" applyFont="1" applyBorder="1" applyAlignment="1">
      <alignment horizontal="center" vertical="center" wrapText="1"/>
    </xf>
    <xf numFmtId="4" fontId="11" fillId="0" borderId="5" xfId="0" applyNumberFormat="1" applyFont="1" applyBorder="1" applyAlignment="1">
      <alignment horizontal="center" vertical="center" wrapText="1"/>
    </xf>
    <xf numFmtId="0" fontId="41" fillId="0" borderId="0" xfId="0" applyFont="1" applyAlignment="1">
      <alignment horizontal="left" vertical="center"/>
    </xf>
    <xf numFmtId="0" fontId="35" fillId="3" borderId="0" xfId="3" applyFont="1" applyFill="1" applyAlignment="1">
      <alignment horizontal="center" vertical="center" wrapText="1"/>
    </xf>
    <xf numFmtId="2" fontId="35" fillId="3" borderId="0" xfId="3" applyNumberFormat="1" applyFont="1" applyFill="1" applyAlignment="1">
      <alignment horizontal="left" vertical="center" wrapText="1"/>
    </xf>
    <xf numFmtId="2" fontId="35" fillId="3" borderId="0" xfId="3" applyNumberFormat="1" applyFont="1" applyFill="1" applyAlignment="1">
      <alignment horizontal="center" vertical="center" wrapText="1"/>
    </xf>
    <xf numFmtId="1" fontId="17" fillId="3" borderId="0" xfId="3" applyNumberFormat="1" applyFont="1" applyFill="1" applyAlignment="1">
      <alignment horizontal="center" vertical="center" wrapText="1"/>
    </xf>
    <xf numFmtId="0" fontId="17" fillId="3" borderId="0" xfId="3" applyFont="1" applyFill="1" applyAlignment="1">
      <alignment horizontal="center" vertical="center" wrapText="1"/>
    </xf>
    <xf numFmtId="0" fontId="23" fillId="3" borderId="0" xfId="0" applyFont="1" applyFill="1" applyAlignment="1">
      <alignment horizontal="left" vertical="center" wrapText="1"/>
    </xf>
    <xf numFmtId="2" fontId="23" fillId="3" borderId="0" xfId="0" applyNumberFormat="1" applyFont="1" applyFill="1" applyAlignment="1">
      <alignment horizontal="center" vertical="center" wrapText="1"/>
    </xf>
    <xf numFmtId="1" fontId="23" fillId="3" borderId="0" xfId="3" applyNumberFormat="1" applyFont="1" applyFill="1" applyAlignment="1">
      <alignment horizontal="center" vertical="center" wrapText="1"/>
    </xf>
    <xf numFmtId="0" fontId="23" fillId="3" borderId="0" xfId="3" applyFont="1" applyFill="1" applyAlignment="1">
      <alignment horizontal="center" vertical="center" wrapText="1"/>
    </xf>
    <xf numFmtId="2" fontId="35" fillId="0" borderId="0" xfId="3" applyNumberFormat="1" applyFont="1" applyAlignment="1">
      <alignment horizontal="left" vertical="center" wrapText="1"/>
    </xf>
    <xf numFmtId="1" fontId="17" fillId="0" borderId="0" xfId="3" applyNumberFormat="1" applyFont="1" applyAlignment="1">
      <alignment horizontal="center" vertical="center" wrapText="1"/>
    </xf>
    <xf numFmtId="0" fontId="17" fillId="0" borderId="0" xfId="3" applyFont="1" applyAlignment="1">
      <alignment horizontal="center" vertical="center" wrapText="1"/>
    </xf>
    <xf numFmtId="0" fontId="37" fillId="3" borderId="5" xfId="3" applyFont="1" applyFill="1" applyBorder="1" applyAlignment="1">
      <alignment horizontal="center" vertical="center" wrapText="1"/>
    </xf>
    <xf numFmtId="0" fontId="17" fillId="11" borderId="23" xfId="3" applyFont="1" applyFill="1" applyBorder="1" applyAlignment="1">
      <alignment horizontal="center" vertical="center" wrapText="1"/>
    </xf>
    <xf numFmtId="0" fontId="0" fillId="0" borderId="0" xfId="0" applyAlignment="1">
      <alignment horizontal="center" vertical="top" wrapText="1"/>
    </xf>
    <xf numFmtId="0" fontId="34" fillId="0" borderId="0" xfId="1" applyFont="1" applyAlignment="1"/>
    <xf numFmtId="0" fontId="12" fillId="0" borderId="8" xfId="0" applyFont="1" applyBorder="1" applyAlignment="1">
      <alignment vertical="center" wrapText="1"/>
    </xf>
    <xf numFmtId="0" fontId="27" fillId="3" borderId="0" xfId="0" applyFont="1" applyFill="1" applyAlignment="1">
      <alignment horizontal="left" vertical="center" wrapText="1"/>
    </xf>
    <xf numFmtId="0" fontId="47" fillId="0" borderId="0" xfId="1" applyFont="1" applyAlignment="1">
      <alignment vertical="center"/>
    </xf>
    <xf numFmtId="0" fontId="38" fillId="10" borderId="23" xfId="3" applyFont="1" applyFill="1" applyBorder="1" applyAlignment="1">
      <alignment horizontal="center" vertical="center" wrapText="1"/>
    </xf>
    <xf numFmtId="2" fontId="23" fillId="10" borderId="23" xfId="0" applyNumberFormat="1" applyFont="1" applyFill="1" applyBorder="1" applyAlignment="1">
      <alignment horizontal="center" vertical="center"/>
    </xf>
    <xf numFmtId="0" fontId="37" fillId="10" borderId="29" xfId="3" applyFont="1" applyFill="1" applyBorder="1" applyAlignment="1">
      <alignment horizontal="center" vertical="center" wrapText="1"/>
    </xf>
    <xf numFmtId="2" fontId="17" fillId="10" borderId="23" xfId="3" applyNumberFormat="1" applyFont="1" applyFill="1" applyBorder="1" applyAlignment="1">
      <alignment horizontal="center" vertical="center" wrapText="1"/>
    </xf>
    <xf numFmtId="0" fontId="37" fillId="2" borderId="29" xfId="3" applyFont="1" applyFill="1" applyBorder="1" applyAlignment="1">
      <alignment horizontal="center" vertical="center" wrapText="1"/>
    </xf>
    <xf numFmtId="2" fontId="17" fillId="2" borderId="29" xfId="3" applyNumberFormat="1" applyFont="1" applyFill="1" applyBorder="1" applyAlignment="1">
      <alignment horizontal="center" vertical="center" wrapText="1"/>
    </xf>
    <xf numFmtId="2" fontId="23" fillId="10" borderId="23" xfId="0" applyNumberFormat="1" applyFont="1" applyFill="1" applyBorder="1" applyAlignment="1">
      <alignment horizontal="center" vertical="center" wrapText="1"/>
    </xf>
    <xf numFmtId="0" fontId="39" fillId="10" borderId="23" xfId="0" applyFont="1" applyFill="1" applyBorder="1" applyAlignment="1">
      <alignment horizontal="center" vertical="center" wrapText="1"/>
    </xf>
    <xf numFmtId="1" fontId="7" fillId="12" borderId="0" xfId="0" applyNumberFormat="1" applyFont="1" applyFill="1" applyAlignment="1">
      <alignment horizontal="center" vertical="center" wrapText="1"/>
    </xf>
    <xf numFmtId="0" fontId="7" fillId="12" borderId="0" xfId="0" applyFont="1" applyFill="1" applyAlignment="1">
      <alignment horizontal="left" vertical="center" wrapText="1"/>
    </xf>
    <xf numFmtId="0" fontId="7" fillId="12" borderId="0" xfId="0" applyFont="1" applyFill="1" applyAlignment="1">
      <alignment vertical="center" wrapText="1"/>
    </xf>
    <xf numFmtId="2" fontId="12" fillId="12" borderId="23" xfId="0" applyNumberFormat="1" applyFont="1" applyFill="1" applyBorder="1" applyAlignment="1">
      <alignment horizontal="center" vertical="center"/>
    </xf>
    <xf numFmtId="0" fontId="39" fillId="2" borderId="23" xfId="0" applyFont="1" applyFill="1" applyBorder="1" applyAlignment="1">
      <alignment horizontal="center" vertical="center" wrapText="1"/>
    </xf>
    <xf numFmtId="0" fontId="36" fillId="0" borderId="0" xfId="0" applyFont="1"/>
    <xf numFmtId="0" fontId="48" fillId="0" borderId="0" xfId="1" applyFont="1"/>
    <xf numFmtId="1" fontId="10" fillId="0" borderId="8" xfId="0" applyNumberFormat="1" applyFont="1" applyBorder="1" applyAlignment="1">
      <alignment horizontal="center" vertical="center" wrapText="1"/>
    </xf>
    <xf numFmtId="1" fontId="11" fillId="0" borderId="9" xfId="0" applyNumberFormat="1" applyFont="1" applyBorder="1" applyAlignment="1">
      <alignment horizontal="center" vertical="center" wrapText="1"/>
    </xf>
    <xf numFmtId="1" fontId="11" fillId="0" borderId="16" xfId="0" applyNumberFormat="1" applyFont="1" applyBorder="1" applyAlignment="1">
      <alignment horizontal="center" vertical="center" wrapText="1"/>
    </xf>
    <xf numFmtId="1" fontId="11" fillId="0" borderId="27" xfId="0" applyNumberFormat="1" applyFont="1" applyBorder="1" applyAlignment="1">
      <alignment horizontal="center" vertical="center" wrapText="1"/>
    </xf>
    <xf numFmtId="1" fontId="11" fillId="0" borderId="6" xfId="0" applyNumberFormat="1" applyFont="1" applyBorder="1" applyAlignment="1">
      <alignment horizontal="center" vertical="center" wrapText="1"/>
    </xf>
    <xf numFmtId="1" fontId="11" fillId="0" borderId="23" xfId="0" applyNumberFormat="1" applyFont="1" applyBorder="1" applyAlignment="1">
      <alignment horizontal="center" vertical="center" wrapText="1"/>
    </xf>
    <xf numFmtId="1" fontId="23" fillId="0" borderId="0" xfId="0" applyNumberFormat="1" applyFont="1" applyAlignment="1">
      <alignment horizontal="center" vertical="center" wrapText="1"/>
    </xf>
    <xf numFmtId="0" fontId="10" fillId="8" borderId="8" xfId="0" applyFont="1" applyFill="1" applyBorder="1" applyAlignment="1">
      <alignment vertical="center" wrapText="1"/>
    </xf>
    <xf numFmtId="0" fontId="10" fillId="2" borderId="8" xfId="0" applyFont="1" applyFill="1" applyBorder="1" applyAlignment="1">
      <alignment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10" fillId="2" borderId="8" xfId="0" applyFont="1" applyFill="1" applyBorder="1" applyAlignment="1">
      <alignment horizontal="center" vertical="center" wrapText="1"/>
    </xf>
    <xf numFmtId="0" fontId="9" fillId="8" borderId="14" xfId="0" applyFont="1" applyFill="1" applyBorder="1" applyAlignment="1">
      <alignment horizontal="center" vertical="center" wrapText="1"/>
    </xf>
    <xf numFmtId="0" fontId="10" fillId="8" borderId="15" xfId="0" applyFont="1" applyFill="1" applyBorder="1" applyAlignment="1">
      <alignment horizontal="center" vertical="center" wrapText="1"/>
    </xf>
    <xf numFmtId="1" fontId="10" fillId="2" borderId="8" xfId="0" applyNumberFormat="1" applyFont="1" applyFill="1" applyBorder="1" applyAlignment="1">
      <alignment horizontal="center" vertical="center" wrapText="1"/>
    </xf>
    <xf numFmtId="1" fontId="11" fillId="2" borderId="9" xfId="0" applyNumberFormat="1" applyFont="1" applyFill="1" applyBorder="1" applyAlignment="1">
      <alignment horizontal="center" vertical="center" wrapText="1"/>
    </xf>
    <xf numFmtId="0" fontId="10" fillId="8" borderId="8" xfId="0" applyFont="1" applyFill="1" applyBorder="1" applyAlignment="1">
      <alignment horizontal="center" vertical="center" wrapText="1"/>
    </xf>
    <xf numFmtId="1" fontId="10" fillId="8" borderId="15" xfId="0" applyNumberFormat="1" applyFont="1" applyFill="1" applyBorder="1" applyAlignment="1">
      <alignment horizontal="center" vertical="center" wrapText="1"/>
    </xf>
    <xf numFmtId="1" fontId="11" fillId="8" borderId="16" xfId="0" applyNumberFormat="1" applyFont="1" applyFill="1" applyBorder="1" applyAlignment="1">
      <alignment horizontal="center" vertical="center" wrapText="1"/>
    </xf>
    <xf numFmtId="4" fontId="23" fillId="0" borderId="0" xfId="0" applyNumberFormat="1" applyFont="1" applyAlignment="1">
      <alignment horizontal="center" vertical="center" wrapText="1"/>
    </xf>
    <xf numFmtId="0" fontId="40" fillId="2" borderId="23" xfId="0" applyFont="1" applyFill="1" applyBorder="1" applyAlignment="1">
      <alignment horizontal="center" vertical="center" wrapText="1"/>
    </xf>
    <xf numFmtId="0" fontId="40" fillId="3" borderId="0" xfId="0" applyFont="1" applyFill="1" applyAlignment="1">
      <alignment horizontal="center" vertical="center" wrapText="1"/>
    </xf>
    <xf numFmtId="0" fontId="23" fillId="3" borderId="0" xfId="0" applyFont="1" applyFill="1" applyAlignment="1">
      <alignment horizontal="center" vertical="center"/>
    </xf>
    <xf numFmtId="164" fontId="17" fillId="8" borderId="23" xfId="3" applyNumberFormat="1" applyFont="1" applyFill="1" applyBorder="1" applyAlignment="1">
      <alignment horizontal="center" vertical="center" wrapText="1"/>
    </xf>
    <xf numFmtId="0" fontId="39" fillId="8" borderId="23" xfId="0" applyFont="1" applyFill="1" applyBorder="1" applyAlignment="1">
      <alignment horizontal="center" vertical="center" wrapText="1"/>
    </xf>
    <xf numFmtId="1" fontId="17" fillId="8" borderId="23" xfId="0" applyNumberFormat="1" applyFont="1" applyFill="1" applyBorder="1" applyAlignment="1">
      <alignment horizontal="center" vertical="center"/>
    </xf>
    <xf numFmtId="0" fontId="39" fillId="13" borderId="23" xfId="0" applyFont="1" applyFill="1" applyBorder="1" applyAlignment="1">
      <alignment horizontal="center" vertical="center" wrapText="1"/>
    </xf>
    <xf numFmtId="2" fontId="11" fillId="3" borderId="9" xfId="0" applyNumberFormat="1" applyFont="1" applyFill="1" applyBorder="1" applyAlignment="1">
      <alignment horizontal="center" vertical="center" wrapText="1"/>
    </xf>
    <xf numFmtId="0" fontId="51" fillId="0" borderId="0" xfId="0" applyFont="1"/>
    <xf numFmtId="0" fontId="52" fillId="0" borderId="0" xfId="0" applyFont="1" applyAlignment="1">
      <alignment vertical="center" wrapText="1"/>
    </xf>
    <xf numFmtId="0" fontId="51" fillId="0" borderId="0" xfId="0" applyFont="1" applyAlignment="1">
      <alignment wrapText="1"/>
    </xf>
    <xf numFmtId="0" fontId="51" fillId="0" borderId="0" xfId="0" applyFont="1" applyAlignment="1">
      <alignment horizontal="center" vertical="center" wrapText="1"/>
    </xf>
    <xf numFmtId="164" fontId="23" fillId="0" borderId="23" xfId="0" applyNumberFormat="1" applyFont="1" applyBorder="1" applyAlignment="1">
      <alignment horizontal="center" vertical="center" wrapText="1"/>
    </xf>
    <xf numFmtId="0" fontId="53" fillId="0" borderId="0" xfId="0" applyFont="1"/>
    <xf numFmtId="0" fontId="53" fillId="0" borderId="0" xfId="0" applyFont="1" applyAlignment="1">
      <alignment horizontal="left" vertical="center"/>
    </xf>
    <xf numFmtId="0" fontId="29" fillId="0" borderId="0" xfId="0" applyFont="1" applyAlignment="1">
      <alignment vertical="center" wrapText="1"/>
    </xf>
    <xf numFmtId="0" fontId="53" fillId="0" borderId="0" xfId="0" applyFont="1" applyAlignment="1">
      <alignment wrapText="1"/>
    </xf>
    <xf numFmtId="0" fontId="53" fillId="0" borderId="0" xfId="0" applyFont="1" applyAlignment="1">
      <alignment horizontal="center" vertical="center" wrapText="1"/>
    </xf>
    <xf numFmtId="3" fontId="53" fillId="0" borderId="0" xfId="0" applyNumberFormat="1" applyFont="1" applyAlignment="1">
      <alignment horizontal="center" vertical="center" wrapText="1"/>
    </xf>
    <xf numFmtId="3" fontId="53" fillId="3" borderId="0" xfId="0" applyNumberFormat="1" applyFont="1" applyFill="1" applyAlignment="1">
      <alignment horizontal="center" vertical="center" wrapText="1"/>
    </xf>
    <xf numFmtId="1" fontId="53" fillId="0" borderId="0" xfId="0" applyNumberFormat="1" applyFont="1" applyAlignment="1">
      <alignment horizontal="center" vertical="center" wrapText="1"/>
    </xf>
    <xf numFmtId="0" fontId="53" fillId="3" borderId="0" xfId="0" applyFont="1" applyFill="1" applyAlignment="1">
      <alignment horizontal="center" vertical="center" wrapText="1"/>
    </xf>
    <xf numFmtId="0" fontId="53" fillId="3" borderId="0" xfId="0" applyFont="1" applyFill="1"/>
    <xf numFmtId="0" fontId="17" fillId="0" borderId="8" xfId="0" applyFont="1" applyBorder="1" applyAlignment="1">
      <alignment horizontal="center" vertical="center" wrapText="1"/>
    </xf>
    <xf numFmtId="0" fontId="0" fillId="0" borderId="18" xfId="0" applyBorder="1" applyAlignment="1">
      <alignment wrapText="1"/>
    </xf>
    <xf numFmtId="0" fontId="40" fillId="3" borderId="24" xfId="0" applyFont="1" applyFill="1" applyBorder="1" applyAlignment="1">
      <alignment horizontal="center" vertical="center" wrapText="1"/>
    </xf>
    <xf numFmtId="0" fontId="23" fillId="3" borderId="24" xfId="0" applyFont="1" applyFill="1" applyBorder="1" applyAlignment="1">
      <alignment horizontal="center" vertical="center"/>
    </xf>
    <xf numFmtId="0" fontId="37" fillId="3" borderId="27" xfId="3" applyFont="1" applyFill="1" applyBorder="1" applyAlignment="1">
      <alignment horizontal="center" vertical="center" wrapText="1"/>
    </xf>
    <xf numFmtId="1" fontId="23" fillId="3" borderId="27" xfId="0" applyNumberFormat="1" applyFont="1" applyFill="1" applyBorder="1" applyAlignment="1">
      <alignment horizontal="center" vertical="center"/>
    </xf>
    <xf numFmtId="0" fontId="17" fillId="0" borderId="18" xfId="0" applyFont="1" applyBorder="1" applyAlignment="1">
      <alignment horizontal="center" vertical="center"/>
    </xf>
    <xf numFmtId="0" fontId="17" fillId="0" borderId="18" xfId="0" applyFont="1" applyBorder="1" applyAlignment="1">
      <alignment horizontal="left" vertical="center"/>
    </xf>
    <xf numFmtId="2" fontId="11" fillId="2" borderId="9" xfId="0" applyNumberFormat="1" applyFont="1" applyFill="1" applyBorder="1" applyAlignment="1">
      <alignment horizontal="center" vertical="center" wrapText="1"/>
    </xf>
    <xf numFmtId="2" fontId="11" fillId="8" borderId="16" xfId="0" applyNumberFormat="1" applyFont="1" applyFill="1" applyBorder="1" applyAlignment="1">
      <alignment horizontal="center" vertical="center" wrapText="1"/>
    </xf>
    <xf numFmtId="0" fontId="12" fillId="0" borderId="32" xfId="0" applyFont="1" applyBorder="1" applyAlignment="1">
      <alignment vertical="center" wrapText="1"/>
    </xf>
    <xf numFmtId="0" fontId="11" fillId="0" borderId="22" xfId="0" applyFont="1" applyBorder="1" applyAlignment="1">
      <alignment horizontal="center" vertical="center" wrapText="1"/>
    </xf>
    <xf numFmtId="0" fontId="9" fillId="0" borderId="36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2" fontId="11" fillId="0" borderId="30" xfId="0" applyNumberFormat="1" applyFont="1" applyBorder="1" applyAlignment="1">
      <alignment horizontal="center" vertical="center" wrapText="1"/>
    </xf>
    <xf numFmtId="0" fontId="10" fillId="0" borderId="37" xfId="0" applyFont="1" applyBorder="1" applyAlignment="1">
      <alignment vertical="center" wrapText="1"/>
    </xf>
    <xf numFmtId="2" fontId="11" fillId="0" borderId="38" xfId="0" applyNumberFormat="1" applyFont="1" applyBorder="1" applyAlignment="1">
      <alignment horizontal="center" vertical="center" wrapText="1"/>
    </xf>
    <xf numFmtId="0" fontId="9" fillId="0" borderId="37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4" fontId="11" fillId="0" borderId="30" xfId="0" applyNumberFormat="1" applyFont="1" applyBorder="1" applyAlignment="1">
      <alignment horizontal="center" vertical="center" wrapText="1"/>
    </xf>
    <xf numFmtId="0" fontId="9" fillId="0" borderId="4" xfId="0" quotePrefix="1" applyFont="1" applyBorder="1" applyAlignment="1">
      <alignment horizontal="center" vertical="center" wrapText="1"/>
    </xf>
    <xf numFmtId="0" fontId="11" fillId="2" borderId="5" xfId="0" applyFont="1" applyFill="1" applyBorder="1" applyAlignment="1">
      <alignment horizontal="center" vertical="center" wrapText="1"/>
    </xf>
    <xf numFmtId="0" fontId="9" fillId="0" borderId="42" xfId="0" applyFont="1" applyBorder="1" applyAlignment="1">
      <alignment horizontal="center" vertical="center" wrapText="1"/>
    </xf>
    <xf numFmtId="0" fontId="9" fillId="0" borderId="26" xfId="0" applyFont="1" applyBorder="1" applyAlignment="1">
      <alignment horizontal="center" vertical="center" wrapText="1"/>
    </xf>
    <xf numFmtId="0" fontId="10" fillId="0" borderId="26" xfId="0" applyFont="1" applyBorder="1" applyAlignment="1">
      <alignment vertical="center" wrapText="1"/>
    </xf>
    <xf numFmtId="1" fontId="9" fillId="0" borderId="26" xfId="0" applyNumberFormat="1" applyFont="1" applyBorder="1" applyAlignment="1">
      <alignment horizontal="center" vertical="center" wrapText="1"/>
    </xf>
    <xf numFmtId="0" fontId="9" fillId="0" borderId="45" xfId="0" applyFont="1" applyBorder="1" applyAlignment="1">
      <alignment horizontal="center" vertical="center" wrapText="1"/>
    </xf>
    <xf numFmtId="0" fontId="10" fillId="0" borderId="41" xfId="0" applyFont="1" applyBorder="1" applyAlignment="1">
      <alignment horizontal="center" vertical="center" wrapText="1"/>
    </xf>
    <xf numFmtId="0" fontId="10" fillId="0" borderId="41" xfId="0" applyFont="1" applyBorder="1" applyAlignment="1">
      <alignment vertical="center" wrapText="1"/>
    </xf>
    <xf numFmtId="2" fontId="11" fillId="0" borderId="46" xfId="0" applyNumberFormat="1" applyFont="1" applyBorder="1" applyAlignment="1">
      <alignment horizontal="center" vertical="center" wrapText="1"/>
    </xf>
    <xf numFmtId="2" fontId="10" fillId="4" borderId="43" xfId="0" applyNumberFormat="1" applyFont="1" applyFill="1" applyBorder="1" applyAlignment="1">
      <alignment horizontal="center" vertical="center" wrapText="1"/>
    </xf>
    <xf numFmtId="2" fontId="10" fillId="4" borderId="44" xfId="0" applyNumberFormat="1" applyFont="1" applyFill="1" applyBorder="1" applyAlignment="1">
      <alignment horizontal="center" vertical="center" wrapText="1"/>
    </xf>
    <xf numFmtId="2" fontId="10" fillId="4" borderId="18" xfId="0" applyNumberFormat="1" applyFont="1" applyFill="1" applyBorder="1" applyAlignment="1">
      <alignment horizontal="center" vertical="center" wrapText="1"/>
    </xf>
    <xf numFmtId="2" fontId="10" fillId="4" borderId="40" xfId="0" applyNumberFormat="1" applyFont="1" applyFill="1" applyBorder="1" applyAlignment="1">
      <alignment horizontal="center" vertical="center" wrapText="1"/>
    </xf>
    <xf numFmtId="2" fontId="10" fillId="4" borderId="41" xfId="0" applyNumberFormat="1" applyFont="1" applyFill="1" applyBorder="1" applyAlignment="1">
      <alignment horizontal="center" vertical="center" wrapText="1"/>
    </xf>
    <xf numFmtId="2" fontId="10" fillId="4" borderId="40" xfId="0" applyNumberFormat="1" applyFont="1" applyFill="1" applyBorder="1" applyAlignment="1">
      <alignment horizontal="center" vertical="center"/>
    </xf>
    <xf numFmtId="2" fontId="10" fillId="4" borderId="18" xfId="0" applyNumberFormat="1" applyFont="1" applyFill="1" applyBorder="1" applyAlignment="1">
      <alignment horizontal="center" vertical="center"/>
    </xf>
    <xf numFmtId="2" fontId="10" fillId="4" borderId="41" xfId="0" applyNumberFormat="1" applyFont="1" applyFill="1" applyBorder="1" applyAlignment="1">
      <alignment horizontal="center" vertical="center"/>
    </xf>
    <xf numFmtId="1" fontId="9" fillId="0" borderId="0" xfId="0" applyNumberFormat="1" applyFont="1" applyAlignment="1">
      <alignment horizontal="center" vertical="center" wrapText="1"/>
    </xf>
    <xf numFmtId="1" fontId="9" fillId="0" borderId="21" xfId="0" applyNumberFormat="1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0" fillId="3" borderId="21" xfId="0" applyFont="1" applyFill="1" applyBorder="1" applyAlignment="1">
      <alignment horizontal="center" vertical="center" wrapText="1"/>
    </xf>
    <xf numFmtId="0" fontId="9" fillId="0" borderId="47" xfId="0" applyFont="1" applyBorder="1" applyAlignment="1">
      <alignment horizontal="center" vertical="center" wrapText="1"/>
    </xf>
    <xf numFmtId="0" fontId="9" fillId="0" borderId="21" xfId="0" quotePrefix="1" applyFont="1" applyBorder="1" applyAlignment="1">
      <alignment horizontal="center" vertical="center" wrapText="1"/>
    </xf>
    <xf numFmtId="0" fontId="9" fillId="0" borderId="0" xfId="0" quotePrefix="1" applyFont="1" applyAlignment="1">
      <alignment horizontal="center" vertical="center" wrapText="1"/>
    </xf>
    <xf numFmtId="0" fontId="10" fillId="0" borderId="21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0" borderId="22" xfId="0" applyFont="1" applyBorder="1" applyAlignment="1">
      <alignment horizontal="center" vertical="center" wrapText="1"/>
    </xf>
    <xf numFmtId="2" fontId="10" fillId="4" borderId="17" xfId="0" applyNumberFormat="1" applyFont="1" applyFill="1" applyBorder="1" applyAlignment="1">
      <alignment horizontal="center" vertical="center" wrapText="1"/>
    </xf>
    <xf numFmtId="2" fontId="10" fillId="4" borderId="31" xfId="0" applyNumberFormat="1" applyFont="1" applyFill="1" applyBorder="1" applyAlignment="1">
      <alignment horizontal="center" vertical="center" wrapText="1"/>
    </xf>
    <xf numFmtId="9" fontId="23" fillId="0" borderId="22" xfId="0" applyNumberFormat="1" applyFont="1" applyBorder="1" applyAlignment="1">
      <alignment horizontal="center" vertical="center" wrapText="1"/>
    </xf>
    <xf numFmtId="4" fontId="23" fillId="0" borderId="6" xfId="0" applyNumberFormat="1" applyFont="1" applyBorder="1" applyAlignment="1">
      <alignment horizontal="center" vertical="center" wrapText="1"/>
    </xf>
    <xf numFmtId="4" fontId="11" fillId="0" borderId="27" xfId="0" applyNumberFormat="1" applyFont="1" applyBorder="1" applyAlignment="1">
      <alignment horizontal="center" vertical="center" wrapText="1"/>
    </xf>
    <xf numFmtId="0" fontId="10" fillId="0" borderId="48" xfId="0" applyFont="1" applyBorder="1" applyAlignment="1">
      <alignment horizontal="center" vertical="center" wrapText="1"/>
    </xf>
    <xf numFmtId="1" fontId="10" fillId="0" borderId="21" xfId="0" applyNumberFormat="1" applyFont="1" applyBorder="1" applyAlignment="1">
      <alignment horizontal="center" vertical="center" wrapText="1"/>
    </xf>
    <xf numFmtId="2" fontId="10" fillId="3" borderId="25" xfId="0" applyNumberFormat="1" applyFont="1" applyFill="1" applyBorder="1" applyAlignment="1">
      <alignment horizontal="center" vertical="center" wrapText="1"/>
    </xf>
    <xf numFmtId="2" fontId="10" fillId="3" borderId="25" xfId="0" applyNumberFormat="1" applyFont="1" applyFill="1" applyBorder="1" applyAlignment="1">
      <alignment horizontal="center" vertical="center"/>
    </xf>
    <xf numFmtId="1" fontId="10" fillId="3" borderId="21" xfId="0" applyNumberFormat="1" applyFont="1" applyFill="1" applyBorder="1" applyAlignment="1">
      <alignment horizontal="center" vertical="center" wrapText="1"/>
    </xf>
    <xf numFmtId="0" fontId="0" fillId="0" borderId="23" xfId="0" applyBorder="1" applyAlignment="1">
      <alignment wrapText="1"/>
    </xf>
    <xf numFmtId="0" fontId="12" fillId="0" borderId="15" xfId="0" applyFont="1" applyBorder="1" applyAlignment="1">
      <alignment vertical="center" wrapText="1"/>
    </xf>
    <xf numFmtId="0" fontId="9" fillId="0" borderId="44" xfId="0" applyFont="1" applyBorder="1" applyAlignment="1">
      <alignment horizontal="center" vertical="center" wrapText="1"/>
    </xf>
    <xf numFmtId="0" fontId="12" fillId="0" borderId="22" xfId="0" applyFont="1" applyBorder="1" applyAlignment="1">
      <alignment vertical="center" wrapText="1"/>
    </xf>
    <xf numFmtId="0" fontId="0" fillId="0" borderId="0" xfId="0" applyAlignment="1">
      <alignment vertical="center" wrapText="1"/>
    </xf>
    <xf numFmtId="0" fontId="11" fillId="2" borderId="32" xfId="0" applyFont="1" applyFill="1" applyBorder="1" applyAlignment="1">
      <alignment vertical="center" wrapText="1"/>
    </xf>
    <xf numFmtId="0" fontId="10" fillId="0" borderId="18" xfId="0" applyFont="1" applyBorder="1" applyAlignment="1">
      <alignment vertical="center" wrapText="1"/>
    </xf>
    <xf numFmtId="0" fontId="10" fillId="0" borderId="18" xfId="0" applyFont="1" applyBorder="1" applyAlignment="1">
      <alignment horizontal="center" vertical="center" wrapText="1"/>
    </xf>
    <xf numFmtId="0" fontId="9" fillId="0" borderId="40" xfId="0" applyFont="1" applyBorder="1" applyAlignment="1">
      <alignment horizontal="center" vertical="center" wrapText="1"/>
    </xf>
    <xf numFmtId="0" fontId="10" fillId="0" borderId="40" xfId="0" applyFont="1" applyBorder="1" applyAlignment="1">
      <alignment vertical="center" wrapText="1"/>
    </xf>
    <xf numFmtId="0" fontId="10" fillId="0" borderId="40" xfId="0" applyFont="1" applyBorder="1" applyAlignment="1">
      <alignment horizontal="center" vertical="center" wrapText="1"/>
    </xf>
    <xf numFmtId="2" fontId="11" fillId="0" borderId="49" xfId="0" applyNumberFormat="1" applyFont="1" applyBorder="1" applyAlignment="1">
      <alignment horizontal="center" vertical="center" wrapText="1"/>
    </xf>
    <xf numFmtId="0" fontId="9" fillId="0" borderId="50" xfId="0" applyFont="1" applyBorder="1" applyAlignment="1">
      <alignment horizontal="center" vertical="center" wrapText="1"/>
    </xf>
    <xf numFmtId="2" fontId="11" fillId="0" borderId="51" xfId="0" applyNumberFormat="1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/>
    </xf>
    <xf numFmtId="0" fontId="17" fillId="0" borderId="44" xfId="0" applyFont="1" applyBorder="1" applyAlignment="1">
      <alignment horizontal="center" vertical="center"/>
    </xf>
    <xf numFmtId="0" fontId="17" fillId="3" borderId="44" xfId="0" applyFont="1" applyFill="1" applyBorder="1" applyAlignment="1">
      <alignment horizontal="left" vertical="center"/>
    </xf>
    <xf numFmtId="0" fontId="35" fillId="0" borderId="52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 wrapText="1"/>
    </xf>
    <xf numFmtId="0" fontId="17" fillId="3" borderId="18" xfId="0" applyFont="1" applyFill="1" applyBorder="1" applyAlignment="1">
      <alignment horizontal="left" vertical="center"/>
    </xf>
    <xf numFmtId="0" fontId="9" fillId="0" borderId="18" xfId="0" quotePrefix="1" applyFont="1" applyBorder="1" applyAlignment="1">
      <alignment horizontal="center" vertical="center" wrapText="1"/>
    </xf>
    <xf numFmtId="0" fontId="17" fillId="0" borderId="50" xfId="0" applyFont="1" applyBorder="1" applyAlignment="1">
      <alignment horizontal="center"/>
    </xf>
    <xf numFmtId="0" fontId="35" fillId="0" borderId="51" xfId="0" applyFont="1" applyBorder="1" applyAlignment="1">
      <alignment horizontal="center" vertical="center"/>
    </xf>
    <xf numFmtId="4" fontId="11" fillId="0" borderId="6" xfId="0" applyNumberFormat="1" applyFont="1" applyBorder="1" applyAlignment="1">
      <alignment horizontal="center" vertical="center" wrapText="1"/>
    </xf>
    <xf numFmtId="0" fontId="9" fillId="0" borderId="48" xfId="0" applyFont="1" applyBorder="1" applyAlignment="1">
      <alignment horizontal="center" vertical="center" wrapText="1"/>
    </xf>
    <xf numFmtId="2" fontId="17" fillId="4" borderId="44" xfId="0" applyNumberFormat="1" applyFont="1" applyFill="1" applyBorder="1" applyAlignment="1">
      <alignment horizontal="center" vertical="center"/>
    </xf>
    <xf numFmtId="2" fontId="17" fillId="4" borderId="18" xfId="0" applyNumberFormat="1" applyFont="1" applyFill="1" applyBorder="1" applyAlignment="1">
      <alignment horizontal="center" vertical="center"/>
    </xf>
    <xf numFmtId="2" fontId="11" fillId="0" borderId="53" xfId="0" applyNumberFormat="1" applyFont="1" applyBorder="1" applyAlignment="1">
      <alignment horizontal="center" vertical="center" wrapText="1"/>
    </xf>
    <xf numFmtId="0" fontId="10" fillId="0" borderId="0" xfId="0" applyFont="1" applyAlignment="1">
      <alignment wrapText="1"/>
    </xf>
    <xf numFmtId="0" fontId="0" fillId="2" borderId="25" xfId="0" applyFill="1" applyBorder="1" applyAlignment="1">
      <alignment vertical="center" wrapText="1"/>
    </xf>
    <xf numFmtId="2" fontId="0" fillId="2" borderId="25" xfId="0" applyNumberFormat="1" applyFill="1" applyBorder="1" applyAlignment="1">
      <alignment vertical="center" wrapText="1"/>
    </xf>
    <xf numFmtId="2" fontId="11" fillId="2" borderId="25" xfId="0" applyNumberFormat="1" applyFont="1" applyFill="1" applyBorder="1" applyAlignment="1">
      <alignment vertical="center" wrapText="1"/>
    </xf>
    <xf numFmtId="1" fontId="9" fillId="0" borderId="40" xfId="0" applyNumberFormat="1" applyFont="1" applyBorder="1" applyAlignment="1">
      <alignment horizontal="center" vertical="center" wrapText="1"/>
    </xf>
    <xf numFmtId="0" fontId="17" fillId="0" borderId="54" xfId="0" applyFont="1" applyBorder="1" applyAlignment="1">
      <alignment horizontal="center"/>
    </xf>
    <xf numFmtId="0" fontId="17" fillId="0" borderId="31" xfId="0" applyFont="1" applyBorder="1" applyAlignment="1">
      <alignment horizontal="center" vertical="center"/>
    </xf>
    <xf numFmtId="0" fontId="17" fillId="3" borderId="31" xfId="0" applyFont="1" applyFill="1" applyBorder="1" applyAlignment="1">
      <alignment horizontal="left" vertical="center"/>
    </xf>
    <xf numFmtId="0" fontId="9" fillId="0" borderId="31" xfId="0" quotePrefix="1" applyFont="1" applyBorder="1" applyAlignment="1">
      <alignment horizontal="center" vertical="center" wrapText="1"/>
    </xf>
    <xf numFmtId="0" fontId="35" fillId="0" borderId="55" xfId="0" applyFont="1" applyBorder="1" applyAlignment="1">
      <alignment horizontal="center" vertical="center"/>
    </xf>
    <xf numFmtId="165" fontId="9" fillId="4" borderId="8" xfId="0" applyNumberFormat="1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0" fillId="0" borderId="0" xfId="0" applyFont="1"/>
    <xf numFmtId="0" fontId="15" fillId="2" borderId="22" xfId="0" applyFont="1" applyFill="1" applyBorder="1" applyAlignment="1">
      <alignment horizontal="left" vertical="center" wrapText="1"/>
    </xf>
    <xf numFmtId="2" fontId="15" fillId="2" borderId="22" xfId="0" applyNumberFormat="1" applyFont="1" applyFill="1" applyBorder="1" applyAlignment="1">
      <alignment horizontal="left" vertical="center" wrapText="1"/>
    </xf>
    <xf numFmtId="0" fontId="11" fillId="2" borderId="6" xfId="0" applyFont="1" applyFill="1" applyBorder="1" applyAlignment="1">
      <alignment horizontal="center" vertical="center" wrapText="1"/>
    </xf>
    <xf numFmtId="0" fontId="10" fillId="0" borderId="45" xfId="0" applyFont="1" applyBorder="1" applyAlignment="1">
      <alignment horizontal="center" vertical="center"/>
    </xf>
    <xf numFmtId="0" fontId="17" fillId="0" borderId="41" xfId="47" applyFont="1" applyBorder="1" applyAlignment="1">
      <alignment horizontal="center" vertical="center"/>
    </xf>
    <xf numFmtId="0" fontId="17" fillId="0" borderId="41" xfId="0" applyFont="1" applyBorder="1" applyAlignment="1">
      <alignment horizontal="left" vertical="center"/>
    </xf>
    <xf numFmtId="0" fontId="10" fillId="0" borderId="41" xfId="48" applyFont="1" applyBorder="1" applyAlignment="1">
      <alignment horizontal="center" vertical="center"/>
    </xf>
    <xf numFmtId="0" fontId="12" fillId="0" borderId="41" xfId="48" applyFont="1" applyBorder="1" applyAlignment="1">
      <alignment horizontal="center" vertical="center"/>
    </xf>
    <xf numFmtId="165" fontId="17" fillId="4" borderId="41" xfId="8" applyNumberFormat="1" applyFont="1" applyFill="1" applyBorder="1" applyAlignment="1">
      <alignment horizontal="center" vertical="center"/>
    </xf>
    <xf numFmtId="2" fontId="10" fillId="0" borderId="53" xfId="46" applyNumberFormat="1" applyFont="1" applyBorder="1" applyAlignment="1">
      <alignment horizontal="center" vertical="center"/>
    </xf>
    <xf numFmtId="2" fontId="17" fillId="4" borderId="31" xfId="0" applyNumberFormat="1" applyFont="1" applyFill="1" applyBorder="1" applyAlignment="1">
      <alignment horizontal="center" vertical="center"/>
    </xf>
    <xf numFmtId="165" fontId="9" fillId="4" borderId="18" xfId="0" applyNumberFormat="1" applyFont="1" applyFill="1" applyBorder="1" applyAlignment="1">
      <alignment horizontal="center" vertical="center" wrapText="1"/>
    </xf>
    <xf numFmtId="0" fontId="17" fillId="0" borderId="36" xfId="0" applyFont="1" applyBorder="1" applyAlignment="1">
      <alignment horizontal="center"/>
    </xf>
    <xf numFmtId="0" fontId="17" fillId="0" borderId="40" xfId="0" applyFont="1" applyBorder="1" applyAlignment="1">
      <alignment horizontal="center" vertical="center"/>
    </xf>
    <xf numFmtId="0" fontId="17" fillId="3" borderId="40" xfId="0" applyFont="1" applyFill="1" applyBorder="1" applyAlignment="1">
      <alignment horizontal="left" vertical="center"/>
    </xf>
    <xf numFmtId="2" fontId="17" fillId="4" borderId="40" xfId="0" applyNumberFormat="1" applyFont="1" applyFill="1" applyBorder="1" applyAlignment="1">
      <alignment horizontal="center" vertical="center"/>
    </xf>
    <xf numFmtId="0" fontId="35" fillId="0" borderId="49" xfId="0" applyFont="1" applyBorder="1" applyAlignment="1">
      <alignment horizontal="center" vertical="center"/>
    </xf>
    <xf numFmtId="1" fontId="7" fillId="2" borderId="24" xfId="0" applyNumberFormat="1" applyFont="1" applyFill="1" applyBorder="1" applyAlignment="1">
      <alignment horizontal="center" vertical="center" wrapText="1"/>
    </xf>
    <xf numFmtId="0" fontId="7" fillId="2" borderId="27" xfId="0" applyFont="1" applyFill="1" applyBorder="1" applyAlignment="1">
      <alignment vertical="center" wrapText="1"/>
    </xf>
    <xf numFmtId="0" fontId="12" fillId="15" borderId="25" xfId="0" applyFont="1" applyFill="1" applyBorder="1" applyAlignment="1">
      <alignment horizontal="center" vertical="center"/>
    </xf>
    <xf numFmtId="0" fontId="12" fillId="15" borderId="25" xfId="0" applyFont="1" applyFill="1" applyBorder="1" applyAlignment="1">
      <alignment horizontal="center"/>
    </xf>
    <xf numFmtId="166" fontId="12" fillId="15" borderId="25" xfId="0" applyNumberFormat="1" applyFont="1" applyFill="1" applyBorder="1" applyAlignment="1">
      <alignment horizontal="center"/>
    </xf>
    <xf numFmtId="166" fontId="12" fillId="15" borderId="27" xfId="0" applyNumberFormat="1" applyFont="1" applyFill="1" applyBorder="1" applyAlignment="1">
      <alignment horizontal="center"/>
    </xf>
    <xf numFmtId="0" fontId="17" fillId="0" borderId="7" xfId="0" applyFont="1" applyBorder="1" applyAlignment="1">
      <alignment horizontal="center" vertical="center"/>
    </xf>
    <xf numFmtId="0" fontId="56" fillId="4" borderId="44" xfId="0" applyFont="1" applyFill="1" applyBorder="1" applyAlignment="1">
      <alignment horizontal="center" vertical="center"/>
    </xf>
    <xf numFmtId="1" fontId="17" fillId="0" borderId="54" xfId="43" applyNumberFormat="1" applyFont="1" applyBorder="1" applyAlignment="1">
      <alignment horizontal="center" vertical="center"/>
    </xf>
    <xf numFmtId="1" fontId="17" fillId="0" borderId="31" xfId="43" applyNumberFormat="1" applyFont="1" applyBorder="1" applyAlignment="1">
      <alignment horizontal="center" vertical="center"/>
    </xf>
    <xf numFmtId="0" fontId="35" fillId="15" borderId="25" xfId="0" applyFont="1" applyFill="1" applyBorder="1" applyAlignment="1">
      <alignment horizontal="center" vertical="center"/>
    </xf>
    <xf numFmtId="0" fontId="35" fillId="15" borderId="27" xfId="0" applyFont="1" applyFill="1" applyBorder="1" applyAlignment="1">
      <alignment horizontal="center" vertical="center"/>
    </xf>
    <xf numFmtId="0" fontId="56" fillId="4" borderId="18" xfId="0" applyFont="1" applyFill="1" applyBorder="1" applyAlignment="1">
      <alignment horizontal="center" vertical="center"/>
    </xf>
    <xf numFmtId="1" fontId="17" fillId="0" borderId="31" xfId="0" applyNumberFormat="1" applyFont="1" applyBorder="1" applyAlignment="1">
      <alignment horizontal="center" vertical="center" wrapText="1"/>
    </xf>
    <xf numFmtId="0" fontId="56" fillId="4" borderId="31" xfId="0" applyFont="1" applyFill="1" applyBorder="1" applyAlignment="1">
      <alignment horizontal="center" vertical="center"/>
    </xf>
    <xf numFmtId="0" fontId="35" fillId="16" borderId="25" xfId="0" applyFont="1" applyFill="1" applyBorder="1" applyAlignment="1">
      <alignment horizontal="center" vertical="center"/>
    </xf>
    <xf numFmtId="0" fontId="35" fillId="16" borderId="27" xfId="0" applyFont="1" applyFill="1" applyBorder="1" applyAlignment="1">
      <alignment horizontal="center" vertical="center"/>
    </xf>
    <xf numFmtId="0" fontId="17" fillId="0" borderId="44" xfId="0" applyFont="1" applyBorder="1" applyAlignment="1">
      <alignment horizontal="center"/>
    </xf>
    <xf numFmtId="0" fontId="17" fillId="0" borderId="44" xfId="0" applyFont="1" applyBorder="1" applyAlignment="1">
      <alignment horizontal="left" vertical="center"/>
    </xf>
    <xf numFmtId="0" fontId="56" fillId="0" borderId="18" xfId="0" applyFont="1" applyBorder="1" applyAlignment="1">
      <alignment horizontal="center"/>
    </xf>
    <xf numFmtId="0" fontId="56" fillId="0" borderId="31" xfId="0" applyFont="1" applyBorder="1" applyAlignment="1">
      <alignment horizontal="center"/>
    </xf>
    <xf numFmtId="0" fontId="17" fillId="0" borderId="31" xfId="0" applyFont="1" applyBorder="1" applyAlignment="1">
      <alignment horizontal="left" vertical="center"/>
    </xf>
    <xf numFmtId="1" fontId="35" fillId="2" borderId="23" xfId="0" applyNumberFormat="1" applyFont="1" applyFill="1" applyBorder="1" applyAlignment="1">
      <alignment horizontal="center" vertical="center"/>
    </xf>
    <xf numFmtId="0" fontId="17" fillId="0" borderId="14" xfId="0" applyFont="1" applyBorder="1" applyAlignment="1">
      <alignment horizontal="center" vertical="center"/>
    </xf>
    <xf numFmtId="0" fontId="17" fillId="0" borderId="17" xfId="0" applyFont="1" applyBorder="1" applyAlignment="1">
      <alignment horizontal="center" vertical="center"/>
    </xf>
    <xf numFmtId="0" fontId="17" fillId="3" borderId="17" xfId="0" applyFont="1" applyFill="1" applyBorder="1" applyAlignment="1">
      <alignment horizontal="left" vertical="center"/>
    </xf>
    <xf numFmtId="1" fontId="17" fillId="0" borderId="17" xfId="0" applyNumberFormat="1" applyFont="1" applyBorder="1" applyAlignment="1">
      <alignment horizontal="center" vertical="center"/>
    </xf>
    <xf numFmtId="0" fontId="56" fillId="4" borderId="17" xfId="0" applyFont="1" applyFill="1" applyBorder="1" applyAlignment="1">
      <alignment horizontal="center" vertical="center"/>
    </xf>
    <xf numFmtId="0" fontId="35" fillId="0" borderId="56" xfId="0" applyFont="1" applyBorder="1" applyAlignment="1">
      <alignment horizontal="center" vertical="center"/>
    </xf>
    <xf numFmtId="1" fontId="17" fillId="0" borderId="50" xfId="43" applyNumberFormat="1" applyFont="1" applyBorder="1" applyAlignment="1">
      <alignment horizontal="center"/>
    </xf>
    <xf numFmtId="1" fontId="17" fillId="0" borderId="18" xfId="43" applyNumberFormat="1" applyFont="1" applyBorder="1" applyAlignment="1">
      <alignment horizontal="center" vertical="center"/>
    </xf>
    <xf numFmtId="1" fontId="17" fillId="0" borderId="18" xfId="0" applyNumberFormat="1" applyFont="1" applyBorder="1" applyAlignment="1">
      <alignment horizontal="center" vertical="center"/>
    </xf>
    <xf numFmtId="1" fontId="17" fillId="4" borderId="18" xfId="0" applyNumberFormat="1" applyFont="1" applyFill="1" applyBorder="1" applyAlignment="1">
      <alignment horizontal="center" vertical="center"/>
    </xf>
    <xf numFmtId="1" fontId="17" fillId="0" borderId="54" xfId="43" applyNumberFormat="1" applyFont="1" applyBorder="1" applyAlignment="1">
      <alignment horizontal="center"/>
    </xf>
    <xf numFmtId="1" fontId="17" fillId="0" borderId="31" xfId="0" applyNumberFormat="1" applyFont="1" applyBorder="1" applyAlignment="1">
      <alignment horizontal="center" vertical="center"/>
    </xf>
    <xf numFmtId="0" fontId="17" fillId="3" borderId="50" xfId="0" applyFont="1" applyFill="1" applyBorder="1" applyAlignment="1">
      <alignment horizontal="center"/>
    </xf>
    <xf numFmtId="0" fontId="17" fillId="3" borderId="18" xfId="0" applyFont="1" applyFill="1" applyBorder="1" applyAlignment="1">
      <alignment horizontal="center" vertical="center"/>
    </xf>
    <xf numFmtId="0" fontId="17" fillId="3" borderId="18" xfId="0" applyFont="1" applyFill="1" applyBorder="1" applyAlignment="1">
      <alignment horizontal="left" vertical="center" wrapText="1"/>
    </xf>
    <xf numFmtId="1" fontId="17" fillId="3" borderId="18" xfId="0" applyNumberFormat="1" applyFont="1" applyFill="1" applyBorder="1" applyAlignment="1">
      <alignment horizontal="center" vertical="center"/>
    </xf>
    <xf numFmtId="0" fontId="17" fillId="0" borderId="50" xfId="49" applyFont="1" applyBorder="1" applyAlignment="1">
      <alignment horizontal="center"/>
    </xf>
    <xf numFmtId="0" fontId="17" fillId="0" borderId="18" xfId="49" applyFont="1" applyBorder="1" applyAlignment="1">
      <alignment horizontal="center" vertical="center"/>
    </xf>
    <xf numFmtId="0" fontId="17" fillId="3" borderId="18" xfId="49" applyFont="1" applyFill="1" applyBorder="1" applyAlignment="1">
      <alignment horizontal="left" vertical="center"/>
    </xf>
    <xf numFmtId="0" fontId="17" fillId="3" borderId="18" xfId="49" applyFont="1" applyFill="1" applyBorder="1" applyAlignment="1">
      <alignment horizontal="left" vertical="center" wrapText="1"/>
    </xf>
    <xf numFmtId="3" fontId="17" fillId="0" borderId="0" xfId="0" applyNumberFormat="1" applyFont="1" applyAlignment="1">
      <alignment horizontal="center" vertical="center" wrapText="1"/>
    </xf>
    <xf numFmtId="3" fontId="17" fillId="3" borderId="0" xfId="0" applyNumberFormat="1" applyFont="1" applyFill="1" applyAlignment="1">
      <alignment horizontal="center" vertical="center" wrapText="1"/>
    </xf>
    <xf numFmtId="0" fontId="17" fillId="0" borderId="45" xfId="0" applyFont="1" applyBorder="1" applyAlignment="1">
      <alignment horizontal="center"/>
    </xf>
    <xf numFmtId="0" fontId="17" fillId="0" borderId="41" xfId="0" applyFont="1" applyBorder="1" applyAlignment="1">
      <alignment horizontal="center" vertical="center"/>
    </xf>
    <xf numFmtId="0" fontId="17" fillId="3" borderId="41" xfId="0" applyFont="1" applyFill="1" applyBorder="1" applyAlignment="1">
      <alignment horizontal="left" vertical="center"/>
    </xf>
    <xf numFmtId="0" fontId="17" fillId="3" borderId="41" xfId="0" applyFont="1" applyFill="1" applyBorder="1" applyAlignment="1">
      <alignment horizontal="center" vertical="center"/>
    </xf>
    <xf numFmtId="0" fontId="56" fillId="4" borderId="41" xfId="0" applyFont="1" applyFill="1" applyBorder="1" applyAlignment="1">
      <alignment horizontal="center" vertical="center"/>
    </xf>
    <xf numFmtId="0" fontId="35" fillId="0" borderId="53" xfId="0" applyFont="1" applyBorder="1" applyAlignment="1">
      <alignment horizontal="center" vertical="center"/>
    </xf>
    <xf numFmtId="0" fontId="11" fillId="0" borderId="30" xfId="0" applyFont="1" applyBorder="1" applyAlignment="1">
      <alignment horizontal="center" vertical="center" wrapText="1"/>
    </xf>
    <xf numFmtId="0" fontId="37" fillId="0" borderId="0" xfId="0" applyFont="1" applyAlignment="1">
      <alignment horizontal="center" vertical="center"/>
    </xf>
    <xf numFmtId="0" fontId="57" fillId="3" borderId="0" xfId="0" applyFont="1" applyFill="1" applyAlignment="1">
      <alignment horizontal="center"/>
    </xf>
    <xf numFmtId="0" fontId="57" fillId="3" borderId="0" xfId="0" applyFont="1" applyFill="1" applyAlignment="1">
      <alignment horizontal="center" vertical="center"/>
    </xf>
    <xf numFmtId="3" fontId="53" fillId="4" borderId="0" xfId="0" applyNumberFormat="1" applyFont="1" applyFill="1" applyAlignment="1">
      <alignment horizontal="center" vertical="center" wrapText="1"/>
    </xf>
    <xf numFmtId="0" fontId="0" fillId="4" borderId="0" xfId="0" applyFill="1" applyAlignment="1">
      <alignment wrapText="1"/>
    </xf>
    <xf numFmtId="0" fontId="0" fillId="4" borderId="0" xfId="0" applyFill="1"/>
    <xf numFmtId="0" fontId="10" fillId="4" borderId="8" xfId="0" applyFont="1" applyFill="1" applyBorder="1" applyAlignment="1">
      <alignment horizontal="center" vertical="center" wrapText="1"/>
    </xf>
    <xf numFmtId="0" fontId="10" fillId="4" borderId="15" xfId="0" applyFont="1" applyFill="1" applyBorder="1" applyAlignment="1">
      <alignment horizontal="center" vertical="center" wrapText="1"/>
    </xf>
    <xf numFmtId="0" fontId="10" fillId="4" borderId="4" xfId="0" applyFont="1" applyFill="1" applyBorder="1" applyAlignment="1">
      <alignment horizontal="center" vertical="center" wrapText="1"/>
    </xf>
    <xf numFmtId="1" fontId="10" fillId="4" borderId="15" xfId="0" applyNumberFormat="1" applyFont="1" applyFill="1" applyBorder="1" applyAlignment="1">
      <alignment horizontal="center" vertical="center" wrapText="1"/>
    </xf>
    <xf numFmtId="1" fontId="12" fillId="0" borderId="25" xfId="0" applyNumberFormat="1" applyFont="1" applyBorder="1" applyAlignment="1">
      <alignment vertical="center" wrapText="1"/>
    </xf>
    <xf numFmtId="0" fontId="9" fillId="3" borderId="7" xfId="0" applyFont="1" applyFill="1" applyBorder="1" applyAlignment="1">
      <alignment horizontal="center" vertical="center" wrapText="1"/>
    </xf>
    <xf numFmtId="0" fontId="9" fillId="3" borderId="14" xfId="0" applyFont="1" applyFill="1" applyBorder="1" applyAlignment="1">
      <alignment horizontal="center" vertical="center" wrapText="1"/>
    </xf>
    <xf numFmtId="0" fontId="10" fillId="3" borderId="15" xfId="0" applyFont="1" applyFill="1" applyBorder="1" applyAlignment="1">
      <alignment horizontal="center" vertical="center" wrapText="1"/>
    </xf>
    <xf numFmtId="2" fontId="11" fillId="3" borderId="16" xfId="0" applyNumberFormat="1" applyFont="1" applyFill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left" vertical="center" wrapText="1"/>
    </xf>
    <xf numFmtId="0" fontId="35" fillId="16" borderId="25" xfId="0" applyFont="1" applyFill="1" applyBorder="1" applyAlignment="1">
      <alignment vertical="center"/>
    </xf>
    <xf numFmtId="0" fontId="35" fillId="16" borderId="27" xfId="0" applyFont="1" applyFill="1" applyBorder="1" applyAlignment="1">
      <alignment vertical="center"/>
    </xf>
    <xf numFmtId="0" fontId="17" fillId="3" borderId="44" xfId="0" applyFont="1" applyFill="1" applyBorder="1" applyAlignment="1">
      <alignment horizontal="left" vertical="center" wrapText="1"/>
    </xf>
    <xf numFmtId="1" fontId="17" fillId="0" borderId="44" xfId="0" applyNumberFormat="1" applyFont="1" applyBorder="1" applyAlignment="1">
      <alignment horizontal="center" vertical="center"/>
    </xf>
    <xf numFmtId="0" fontId="17" fillId="0" borderId="50" xfId="0" applyFont="1" applyBorder="1" applyAlignment="1">
      <alignment horizontal="center" vertical="center"/>
    </xf>
    <xf numFmtId="1" fontId="56" fillId="4" borderId="18" xfId="0" applyNumberFormat="1" applyFont="1" applyFill="1" applyBorder="1" applyAlignment="1">
      <alignment horizontal="center" vertical="center"/>
    </xf>
    <xf numFmtId="0" fontId="11" fillId="0" borderId="23" xfId="0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35" fillId="15" borderId="32" xfId="0" applyFont="1" applyFill="1" applyBorder="1" applyAlignment="1">
      <alignment horizontal="center" vertical="center"/>
    </xf>
    <xf numFmtId="0" fontId="35" fillId="15" borderId="5" xfId="0" applyFont="1" applyFill="1" applyBorder="1" applyAlignment="1">
      <alignment horizontal="center" vertical="center"/>
    </xf>
    <xf numFmtId="0" fontId="56" fillId="4" borderId="40" xfId="0" applyFont="1" applyFill="1" applyBorder="1" applyAlignment="1">
      <alignment horizontal="center" vertical="center"/>
    </xf>
    <xf numFmtId="1" fontId="17" fillId="0" borderId="41" xfId="0" applyNumberFormat="1" applyFont="1" applyBorder="1" applyAlignment="1">
      <alignment horizontal="center" vertical="center" wrapText="1"/>
    </xf>
    <xf numFmtId="0" fontId="35" fillId="16" borderId="22" xfId="0" applyFont="1" applyFill="1" applyBorder="1" applyAlignment="1">
      <alignment horizontal="center" vertical="center"/>
    </xf>
    <xf numFmtId="0" fontId="35" fillId="16" borderId="6" xfId="0" applyFont="1" applyFill="1" applyBorder="1" applyAlignment="1">
      <alignment horizontal="center" vertical="center"/>
    </xf>
    <xf numFmtId="164" fontId="56" fillId="4" borderId="18" xfId="0" applyNumberFormat="1" applyFont="1" applyFill="1" applyBorder="1" applyAlignment="1">
      <alignment horizontal="center" vertical="center"/>
    </xf>
    <xf numFmtId="0" fontId="38" fillId="0" borderId="23" xfId="3" applyFont="1" applyBorder="1" applyAlignment="1">
      <alignment horizontal="center" vertical="center" wrapText="1"/>
    </xf>
    <xf numFmtId="0" fontId="17" fillId="13" borderId="23" xfId="3" applyFont="1" applyFill="1" applyBorder="1" applyAlignment="1">
      <alignment horizontal="center" vertical="center" wrapText="1"/>
    </xf>
    <xf numFmtId="2" fontId="35" fillId="16" borderId="23" xfId="3" applyNumberFormat="1" applyFont="1" applyFill="1" applyBorder="1" applyAlignment="1">
      <alignment horizontal="center" vertical="center" wrapText="1"/>
    </xf>
    <xf numFmtId="2" fontId="35" fillId="8" borderId="23" xfId="3" applyNumberFormat="1" applyFont="1" applyFill="1" applyBorder="1" applyAlignment="1">
      <alignment horizontal="center" vertical="center" wrapText="1"/>
    </xf>
    <xf numFmtId="2" fontId="35" fillId="17" borderId="23" xfId="3" applyNumberFormat="1" applyFont="1" applyFill="1" applyBorder="1" applyAlignment="1">
      <alignment horizontal="center" vertical="center" wrapText="1"/>
    </xf>
    <xf numFmtId="2" fontId="35" fillId="6" borderId="23" xfId="0" applyNumberFormat="1" applyFont="1" applyFill="1" applyBorder="1" applyAlignment="1">
      <alignment horizontal="center" vertical="center" wrapText="1"/>
    </xf>
    <xf numFmtId="2" fontId="35" fillId="13" borderId="23" xfId="0" applyNumberFormat="1" applyFont="1" applyFill="1" applyBorder="1" applyAlignment="1">
      <alignment horizontal="center" vertical="center" wrapText="1"/>
    </xf>
    <xf numFmtId="0" fontId="37" fillId="16" borderId="29" xfId="3" applyFont="1" applyFill="1" applyBorder="1" applyAlignment="1">
      <alignment horizontal="center" vertical="center" wrapText="1"/>
    </xf>
    <xf numFmtId="0" fontId="39" fillId="16" borderId="57" xfId="0" applyFont="1" applyFill="1" applyBorder="1" applyAlignment="1">
      <alignment horizontal="center" vertical="center" wrapText="1"/>
    </xf>
    <xf numFmtId="0" fontId="37" fillId="16" borderId="23" xfId="3" applyFont="1" applyFill="1" applyBorder="1" applyAlignment="1">
      <alignment horizontal="center" vertical="center" wrapText="1"/>
    </xf>
    <xf numFmtId="0" fontId="37" fillId="8" borderId="29" xfId="3" applyFont="1" applyFill="1" applyBorder="1" applyAlignment="1">
      <alignment horizontal="center" vertical="center" wrapText="1"/>
    </xf>
    <xf numFmtId="0" fontId="39" fillId="8" borderId="57" xfId="0" applyFont="1" applyFill="1" applyBorder="1" applyAlignment="1">
      <alignment horizontal="center" vertical="center" wrapText="1"/>
    </xf>
    <xf numFmtId="0" fontId="37" fillId="3" borderId="23" xfId="0" applyFont="1" applyFill="1" applyBorder="1" applyAlignment="1">
      <alignment horizontal="center" vertical="center" wrapText="1"/>
    </xf>
    <xf numFmtId="1" fontId="17" fillId="16" borderId="23" xfId="3" applyNumberFormat="1" applyFont="1" applyFill="1" applyBorder="1" applyAlignment="1">
      <alignment horizontal="center" vertical="center" wrapText="1"/>
    </xf>
    <xf numFmtId="1" fontId="17" fillId="16" borderId="29" xfId="3" applyNumberFormat="1" applyFont="1" applyFill="1" applyBorder="1" applyAlignment="1">
      <alignment horizontal="center" vertical="center" wrapText="1"/>
    </xf>
    <xf numFmtId="1" fontId="17" fillId="8" borderId="23" xfId="3" applyNumberFormat="1" applyFont="1" applyFill="1" applyBorder="1" applyAlignment="1">
      <alignment horizontal="center" vertical="center" wrapText="1"/>
    </xf>
    <xf numFmtId="0" fontId="10" fillId="8" borderId="23" xfId="0" applyFont="1" applyFill="1" applyBorder="1" applyAlignment="1">
      <alignment horizontal="center" vertical="center"/>
    </xf>
    <xf numFmtId="0" fontId="35" fillId="18" borderId="23" xfId="0" applyFont="1" applyFill="1" applyBorder="1" applyAlignment="1">
      <alignment horizontal="center" vertical="center"/>
    </xf>
    <xf numFmtId="0" fontId="35" fillId="18" borderId="0" xfId="0" applyFont="1" applyFill="1" applyAlignment="1">
      <alignment horizontal="center" vertical="center"/>
    </xf>
    <xf numFmtId="0" fontId="17" fillId="8" borderId="23" xfId="0" applyFont="1" applyFill="1" applyBorder="1" applyAlignment="1">
      <alignment horizontal="center" vertical="center"/>
    </xf>
    <xf numFmtId="0" fontId="35" fillId="18" borderId="24" xfId="0" applyFont="1" applyFill="1" applyBorder="1" applyAlignment="1">
      <alignment horizontal="center" vertical="center"/>
    </xf>
    <xf numFmtId="0" fontId="35" fillId="18" borderId="57" xfId="0" applyFont="1" applyFill="1" applyBorder="1" applyAlignment="1">
      <alignment horizontal="center" vertical="center"/>
    </xf>
    <xf numFmtId="0" fontId="39" fillId="16" borderId="23" xfId="0" applyFont="1" applyFill="1" applyBorder="1" applyAlignment="1">
      <alignment horizontal="center" vertical="center" wrapText="1"/>
    </xf>
    <xf numFmtId="0" fontId="38" fillId="19" borderId="23" xfId="3" applyFont="1" applyFill="1" applyBorder="1" applyAlignment="1">
      <alignment horizontal="center" vertical="center" wrapText="1"/>
    </xf>
    <xf numFmtId="0" fontId="38" fillId="3" borderId="33" xfId="3" applyFont="1" applyFill="1" applyBorder="1" applyAlignment="1">
      <alignment horizontal="center" vertical="center" wrapText="1"/>
    </xf>
    <xf numFmtId="1" fontId="35" fillId="18" borderId="23" xfId="0" applyNumberFormat="1" applyFont="1" applyFill="1" applyBorder="1" applyAlignment="1">
      <alignment horizontal="center" vertical="center"/>
    </xf>
    <xf numFmtId="2" fontId="35" fillId="18" borderId="23" xfId="0" applyNumberFormat="1" applyFont="1" applyFill="1" applyBorder="1" applyAlignment="1">
      <alignment horizontal="center" vertical="center"/>
    </xf>
    <xf numFmtId="1" fontId="35" fillId="3" borderId="30" xfId="0" applyNumberFormat="1" applyFont="1" applyFill="1" applyBorder="1" applyAlignment="1">
      <alignment horizontal="center" vertical="center"/>
    </xf>
    <xf numFmtId="1" fontId="12" fillId="18" borderId="29" xfId="0" applyNumberFormat="1" applyFont="1" applyFill="1" applyBorder="1" applyAlignment="1">
      <alignment horizontal="center" vertical="center"/>
    </xf>
    <xf numFmtId="1" fontId="23" fillId="2" borderId="23" xfId="0" applyNumberFormat="1" applyFont="1" applyFill="1" applyBorder="1" applyAlignment="1">
      <alignment horizontal="center" vertical="center"/>
    </xf>
    <xf numFmtId="0" fontId="23" fillId="2" borderId="23" xfId="0" applyFont="1" applyFill="1" applyBorder="1" applyAlignment="1">
      <alignment horizontal="center" vertical="center"/>
    </xf>
    <xf numFmtId="1" fontId="12" fillId="18" borderId="23" xfId="0" applyNumberFormat="1" applyFont="1" applyFill="1" applyBorder="1" applyAlignment="1">
      <alignment horizontal="center" vertical="center"/>
    </xf>
    <xf numFmtId="0" fontId="35" fillId="20" borderId="23" xfId="0" applyFont="1" applyFill="1" applyBorder="1" applyAlignment="1">
      <alignment horizontal="center" vertical="center"/>
    </xf>
    <xf numFmtId="1" fontId="35" fillId="20" borderId="23" xfId="0" applyNumberFormat="1" applyFont="1" applyFill="1" applyBorder="1" applyAlignment="1">
      <alignment horizontal="center" vertical="center"/>
    </xf>
    <xf numFmtId="0" fontId="12" fillId="2" borderId="29" xfId="0" applyFont="1" applyFill="1" applyBorder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1" fontId="22" fillId="0" borderId="0" xfId="0" applyNumberFormat="1" applyFont="1" applyAlignment="1">
      <alignment horizontal="center" vertical="center"/>
    </xf>
    <xf numFmtId="0" fontId="61" fillId="2" borderId="23" xfId="0" applyFont="1" applyFill="1" applyBorder="1" applyAlignment="1">
      <alignment horizontal="center"/>
    </xf>
    <xf numFmtId="0" fontId="0" fillId="0" borderId="0" xfId="0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2" fontId="35" fillId="0" borderId="52" xfId="0" applyNumberFormat="1" applyFont="1" applyBorder="1" applyAlignment="1">
      <alignment horizontal="center" vertical="center"/>
    </xf>
    <xf numFmtId="2" fontId="35" fillId="0" borderId="55" xfId="0" applyNumberFormat="1" applyFont="1" applyBorder="1" applyAlignment="1">
      <alignment horizontal="center" vertical="center"/>
    </xf>
    <xf numFmtId="2" fontId="35" fillId="15" borderId="5" xfId="0" applyNumberFormat="1" applyFont="1" applyFill="1" applyBorder="1" applyAlignment="1">
      <alignment horizontal="center" vertical="center"/>
    </xf>
    <xf numFmtId="2" fontId="35" fillId="0" borderId="49" xfId="0" applyNumberFormat="1" applyFont="1" applyBorder="1" applyAlignment="1">
      <alignment horizontal="center" vertical="center"/>
    </xf>
    <xf numFmtId="2" fontId="35" fillId="0" borderId="51" xfId="0" applyNumberFormat="1" applyFont="1" applyBorder="1" applyAlignment="1">
      <alignment horizontal="center" vertical="center"/>
    </xf>
    <xf numFmtId="2" fontId="35" fillId="0" borderId="53" xfId="0" applyNumberFormat="1" applyFont="1" applyBorder="1" applyAlignment="1">
      <alignment horizontal="center" vertical="center"/>
    </xf>
    <xf numFmtId="2" fontId="35" fillId="16" borderId="6" xfId="0" applyNumberFormat="1" applyFont="1" applyFill="1" applyBorder="1" applyAlignment="1">
      <alignment horizontal="center" vertical="center"/>
    </xf>
    <xf numFmtId="2" fontId="35" fillId="15" borderId="27" xfId="0" applyNumberFormat="1" applyFont="1" applyFill="1" applyBorder="1" applyAlignment="1">
      <alignment horizontal="center" vertical="center"/>
    </xf>
    <xf numFmtId="2" fontId="35" fillId="0" borderId="56" xfId="0" applyNumberFormat="1" applyFont="1" applyBorder="1" applyAlignment="1">
      <alignment horizontal="center" vertical="center"/>
    </xf>
    <xf numFmtId="2" fontId="35" fillId="16" borderId="27" xfId="0" applyNumberFormat="1" applyFont="1" applyFill="1" applyBorder="1" applyAlignment="1">
      <alignment vertical="center"/>
    </xf>
    <xf numFmtId="2" fontId="17" fillId="4" borderId="31" xfId="44" applyNumberFormat="1" applyFont="1" applyFill="1" applyBorder="1" applyAlignment="1">
      <alignment horizontal="center" vertical="center"/>
    </xf>
    <xf numFmtId="2" fontId="35" fillId="15" borderId="32" xfId="0" applyNumberFormat="1" applyFont="1" applyFill="1" applyBorder="1" applyAlignment="1">
      <alignment horizontal="center" vertical="center"/>
    </xf>
    <xf numFmtId="2" fontId="17" fillId="4" borderId="41" xfId="0" applyNumberFormat="1" applyFont="1" applyFill="1" applyBorder="1" applyAlignment="1">
      <alignment horizontal="center" vertical="center"/>
    </xf>
    <xf numFmtId="2" fontId="35" fillId="16" borderId="22" xfId="0" applyNumberFormat="1" applyFont="1" applyFill="1" applyBorder="1" applyAlignment="1">
      <alignment horizontal="center" vertical="center"/>
    </xf>
    <xf numFmtId="2" fontId="35" fillId="15" borderId="25" xfId="0" applyNumberFormat="1" applyFont="1" applyFill="1" applyBorder="1" applyAlignment="1">
      <alignment horizontal="center" vertical="center"/>
    </xf>
    <xf numFmtId="2" fontId="17" fillId="4" borderId="17" xfId="0" applyNumberFormat="1" applyFont="1" applyFill="1" applyBorder="1" applyAlignment="1">
      <alignment horizontal="center" vertical="center"/>
    </xf>
    <xf numFmtId="2" fontId="35" fillId="16" borderId="25" xfId="0" applyNumberFormat="1" applyFont="1" applyFill="1" applyBorder="1" applyAlignment="1">
      <alignment vertical="center"/>
    </xf>
    <xf numFmtId="0" fontId="62" fillId="0" borderId="0" xfId="0" applyFont="1" applyAlignment="1">
      <alignment horizontal="center" vertical="center" wrapText="1"/>
    </xf>
    <xf numFmtId="1" fontId="63" fillId="4" borderId="18" xfId="0" applyNumberFormat="1" applyFont="1" applyFill="1" applyBorder="1" applyAlignment="1">
      <alignment horizontal="center" vertical="center"/>
    </xf>
    <xf numFmtId="1" fontId="1" fillId="4" borderId="18" xfId="0" applyNumberFormat="1" applyFont="1" applyFill="1" applyBorder="1" applyAlignment="1">
      <alignment horizontal="center" vertical="center"/>
    </xf>
    <xf numFmtId="1" fontId="35" fillId="18" borderId="23" xfId="0" quotePrefix="1" applyNumberFormat="1" applyFont="1" applyFill="1" applyBorder="1" applyAlignment="1">
      <alignment horizontal="center" vertical="center"/>
    </xf>
    <xf numFmtId="0" fontId="11" fillId="14" borderId="25" xfId="0" applyFont="1" applyFill="1" applyBorder="1" applyAlignment="1">
      <alignment vertical="center" wrapText="1"/>
    </xf>
    <xf numFmtId="1" fontId="11" fillId="14" borderId="25" xfId="0" applyNumberFormat="1" applyFont="1" applyFill="1" applyBorder="1" applyAlignment="1">
      <alignment vertical="center" wrapText="1"/>
    </xf>
    <xf numFmtId="0" fontId="11" fillId="14" borderId="27" xfId="0" applyFont="1" applyFill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11" fillId="0" borderId="11" xfId="0" applyFont="1" applyBorder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20" fillId="0" borderId="0" xfId="0" applyFont="1" applyAlignment="1">
      <alignment horizontal="center" wrapText="1"/>
    </xf>
    <xf numFmtId="0" fontId="11" fillId="0" borderId="24" xfId="0" applyFont="1" applyBorder="1" applyAlignment="1">
      <alignment horizontal="center" vertical="center" wrapText="1"/>
    </xf>
    <xf numFmtId="0" fontId="11" fillId="0" borderId="25" xfId="0" applyFont="1" applyBorder="1" applyAlignment="1">
      <alignment horizontal="center" vertical="center" wrapText="1"/>
    </xf>
    <xf numFmtId="0" fontId="8" fillId="0" borderId="0" xfId="0" applyFont="1" applyAlignment="1">
      <alignment vertical="center" wrapText="1"/>
    </xf>
    <xf numFmtId="0" fontId="19" fillId="0" borderId="22" xfId="0" applyFont="1" applyBorder="1" applyAlignment="1">
      <alignment horizontal="center" vertical="center" wrapText="1"/>
    </xf>
    <xf numFmtId="0" fontId="20" fillId="0" borderId="22" xfId="0" applyFont="1" applyBorder="1" applyAlignment="1">
      <alignment horizontal="center" wrapText="1"/>
    </xf>
    <xf numFmtId="0" fontId="11" fillId="0" borderId="17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7" fillId="0" borderId="0" xfId="0" applyFont="1" applyAlignment="1">
      <alignment vertical="center"/>
    </xf>
    <xf numFmtId="0" fontId="0" fillId="0" borderId="0" xfId="0"/>
    <xf numFmtId="0" fontId="12" fillId="0" borderId="34" xfId="0" applyFont="1" applyBorder="1" applyAlignment="1">
      <alignment vertical="center" wrapText="1"/>
    </xf>
    <xf numFmtId="0" fontId="0" fillId="0" borderId="32" xfId="0" applyBorder="1" applyAlignment="1">
      <alignment vertical="center" wrapText="1"/>
    </xf>
    <xf numFmtId="0" fontId="12" fillId="2" borderId="0" xfId="0" applyFont="1" applyFill="1" applyAlignment="1">
      <alignment vertical="center" wrapText="1"/>
    </xf>
    <xf numFmtId="0" fontId="11" fillId="5" borderId="24" xfId="0" applyFont="1" applyFill="1" applyBorder="1" applyAlignment="1">
      <alignment vertical="center" wrapText="1"/>
    </xf>
    <xf numFmtId="0" fontId="11" fillId="5" borderId="25" xfId="0" applyFont="1" applyFill="1" applyBorder="1" applyAlignment="1">
      <alignment vertical="center" wrapText="1"/>
    </xf>
    <xf numFmtId="0" fontId="0" fillId="0" borderId="0" xfId="0" applyAlignment="1">
      <alignment horizontal="center" vertical="center" wrapText="1"/>
    </xf>
    <xf numFmtId="0" fontId="11" fillId="0" borderId="39" xfId="0" applyFont="1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15" fillId="0" borderId="25" xfId="0" applyFont="1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19" fillId="3" borderId="0" xfId="0" applyFont="1" applyFill="1" applyAlignment="1">
      <alignment horizontal="center" vertical="center" wrapText="1"/>
    </xf>
    <xf numFmtId="0" fontId="11" fillId="14" borderId="24" xfId="0" applyFont="1" applyFill="1" applyBorder="1" applyAlignment="1">
      <alignment vertical="center" wrapText="1"/>
    </xf>
    <xf numFmtId="0" fontId="0" fillId="14" borderId="25" xfId="0" applyFill="1" applyBorder="1" applyAlignment="1">
      <alignment vertical="center" wrapText="1"/>
    </xf>
    <xf numFmtId="0" fontId="12" fillId="0" borderId="0" xfId="0" applyFont="1" applyAlignment="1">
      <alignment vertical="center" wrapText="1"/>
    </xf>
    <xf numFmtId="0" fontId="8" fillId="0" borderId="0" xfId="0" applyFont="1" applyAlignment="1">
      <alignment horizontal="left" vertical="center" wrapText="1"/>
    </xf>
    <xf numFmtId="0" fontId="11" fillId="0" borderId="22" xfId="0" applyFont="1" applyBorder="1" applyAlignment="1">
      <alignment horizontal="center" vertical="center" wrapText="1"/>
    </xf>
    <xf numFmtId="0" fontId="11" fillId="0" borderId="12" xfId="0" applyFont="1" applyBorder="1" applyAlignment="1">
      <alignment horizontal="center" vertical="center" wrapText="1"/>
    </xf>
    <xf numFmtId="0" fontId="11" fillId="0" borderId="13" xfId="0" applyFont="1" applyBorder="1" applyAlignment="1">
      <alignment horizontal="center" vertical="center" wrapText="1"/>
    </xf>
    <xf numFmtId="0" fontId="12" fillId="8" borderId="0" xfId="0" applyFont="1" applyFill="1" applyAlignment="1">
      <alignment vertical="center" wrapText="1"/>
    </xf>
    <xf numFmtId="0" fontId="12" fillId="0" borderId="35" xfId="0" applyFont="1" applyBorder="1" applyAlignment="1">
      <alignment vertical="center" wrapText="1"/>
    </xf>
    <xf numFmtId="2" fontId="27" fillId="3" borderId="0" xfId="3" applyNumberFormat="1" applyFont="1" applyFill="1" applyAlignment="1">
      <alignment horizontal="center" vertical="center" wrapText="1"/>
    </xf>
    <xf numFmtId="0" fontId="28" fillId="3" borderId="0" xfId="0" applyFont="1" applyFill="1" applyAlignment="1">
      <alignment horizontal="center" vertical="center" wrapText="1"/>
    </xf>
    <xf numFmtId="0" fontId="14" fillId="0" borderId="0" xfId="1" applyFont="1" applyAlignment="1">
      <alignment horizontal="left" vertical="center"/>
    </xf>
    <xf numFmtId="0" fontId="27" fillId="0" borderId="0" xfId="3" applyFont="1" applyAlignment="1">
      <alignment horizontal="center" vertical="center" wrapText="1"/>
    </xf>
    <xf numFmtId="0" fontId="28" fillId="0" borderId="0" xfId="0" applyFont="1" applyAlignment="1">
      <alignment horizontal="center" vertical="center" wrapText="1"/>
    </xf>
    <xf numFmtId="0" fontId="26" fillId="0" borderId="0" xfId="3" applyFont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27" fillId="0" borderId="0" xfId="0" applyFont="1" applyAlignment="1">
      <alignment horizontal="left" vertical="center" wrapText="1"/>
    </xf>
    <xf numFmtId="0" fontId="10" fillId="0" borderId="0" xfId="0" applyFont="1" applyAlignment="1">
      <alignment vertical="center" wrapText="1"/>
    </xf>
    <xf numFmtId="0" fontId="12" fillId="0" borderId="0" xfId="0" applyFont="1"/>
    <xf numFmtId="0" fontId="14" fillId="0" borderId="0" xfId="1" applyFont="1" applyAlignment="1">
      <alignment vertical="center"/>
    </xf>
    <xf numFmtId="0" fontId="11" fillId="2" borderId="34" xfId="0" applyFont="1" applyFill="1" applyBorder="1" applyAlignment="1">
      <alignment vertical="center" wrapText="1"/>
    </xf>
    <xf numFmtId="0" fontId="11" fillId="2" borderId="32" xfId="0" applyFont="1" applyFill="1" applyBorder="1" applyAlignment="1">
      <alignment vertical="center" wrapText="1"/>
    </xf>
    <xf numFmtId="0" fontId="11" fillId="2" borderId="24" xfId="0" applyFont="1" applyFill="1" applyBorder="1" applyAlignment="1">
      <alignment vertical="center" wrapText="1"/>
    </xf>
    <xf numFmtId="0" fontId="11" fillId="2" borderId="25" xfId="0" applyFont="1" applyFill="1" applyBorder="1" applyAlignment="1">
      <alignment vertical="center" wrapText="1"/>
    </xf>
    <xf numFmtId="0" fontId="11" fillId="0" borderId="28" xfId="0" applyFont="1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27" fillId="3" borderId="0" xfId="0" applyFont="1" applyFill="1" applyAlignment="1">
      <alignment horizontal="left" vertical="center" wrapText="1"/>
    </xf>
    <xf numFmtId="0" fontId="12" fillId="0" borderId="32" xfId="0" applyFont="1" applyBorder="1" applyAlignment="1">
      <alignment vertical="center" wrapText="1"/>
    </xf>
    <xf numFmtId="0" fontId="11" fillId="0" borderId="6" xfId="0" applyFont="1" applyBorder="1" applyAlignment="1">
      <alignment horizontal="center" vertical="center" wrapText="1"/>
    </xf>
    <xf numFmtId="0" fontId="12" fillId="0" borderId="24" xfId="0" applyFont="1" applyBorder="1" applyAlignment="1">
      <alignment vertical="center" wrapText="1"/>
    </xf>
    <xf numFmtId="0" fontId="12" fillId="0" borderId="25" xfId="0" applyFont="1" applyBorder="1" applyAlignment="1">
      <alignment vertical="center" wrapText="1"/>
    </xf>
    <xf numFmtId="0" fontId="15" fillId="0" borderId="22" xfId="0" applyFont="1" applyBorder="1" applyAlignment="1">
      <alignment horizontal="center" vertical="center" wrapText="1"/>
    </xf>
    <xf numFmtId="0" fontId="27" fillId="3" borderId="0" xfId="3" applyFont="1" applyFill="1" applyAlignment="1">
      <alignment horizontal="center" vertical="center" wrapText="1"/>
    </xf>
    <xf numFmtId="0" fontId="26" fillId="3" borderId="0" xfId="3" applyFont="1" applyFill="1" applyAlignment="1">
      <alignment horizontal="center" vertical="center" wrapText="1"/>
    </xf>
    <xf numFmtId="0" fontId="31" fillId="3" borderId="0" xfId="0" applyFont="1" applyFill="1" applyAlignment="1">
      <alignment horizontal="center" vertical="center" wrapText="1"/>
    </xf>
    <xf numFmtId="0" fontId="11" fillId="0" borderId="27" xfId="0" applyFont="1" applyBorder="1" applyAlignment="1">
      <alignment horizontal="center" vertical="center" wrapText="1"/>
    </xf>
    <xf numFmtId="0" fontId="0" fillId="0" borderId="25" xfId="0" applyBorder="1" applyAlignment="1">
      <alignment vertical="center" wrapText="1"/>
    </xf>
    <xf numFmtId="0" fontId="42" fillId="0" borderId="23" xfId="0" applyFont="1" applyBorder="1" applyAlignment="1">
      <alignment horizontal="center" vertical="center"/>
    </xf>
    <xf numFmtId="0" fontId="41" fillId="0" borderId="23" xfId="0" applyFont="1" applyBorder="1" applyAlignment="1">
      <alignment horizontal="center" vertical="center"/>
    </xf>
    <xf numFmtId="0" fontId="42" fillId="2" borderId="23" xfId="0" applyFont="1" applyFill="1" applyBorder="1" applyAlignment="1">
      <alignment horizontal="center" vertical="center"/>
    </xf>
    <xf numFmtId="0" fontId="43" fillId="2" borderId="23" xfId="0" applyFont="1" applyFill="1" applyBorder="1" applyAlignment="1">
      <alignment horizontal="center" vertical="center"/>
    </xf>
    <xf numFmtId="0" fontId="42" fillId="10" borderId="23" xfId="0" applyFont="1" applyFill="1" applyBorder="1" applyAlignment="1">
      <alignment horizontal="center" vertical="center"/>
    </xf>
    <xf numFmtId="0" fontId="43" fillId="10" borderId="23" xfId="0" applyFont="1" applyFill="1" applyBorder="1" applyAlignment="1">
      <alignment horizontal="center" vertical="center"/>
    </xf>
    <xf numFmtId="0" fontId="35" fillId="15" borderId="24" xfId="0" applyFont="1" applyFill="1" applyBorder="1" applyAlignment="1">
      <alignment horizontal="left" vertical="center"/>
    </xf>
    <xf numFmtId="0" fontId="15" fillId="0" borderId="25" xfId="0" applyFont="1" applyBorder="1" applyAlignment="1">
      <alignment horizontal="left" vertical="center"/>
    </xf>
    <xf numFmtId="0" fontId="12" fillId="15" borderId="24" xfId="0" applyFont="1" applyFill="1" applyBorder="1" applyAlignment="1">
      <alignment horizontal="left" vertical="center"/>
    </xf>
    <xf numFmtId="0" fontId="12" fillId="0" borderId="25" xfId="0" applyFont="1" applyBorder="1" applyAlignment="1">
      <alignment vertical="center"/>
    </xf>
    <xf numFmtId="0" fontId="35" fillId="16" borderId="24" xfId="0" applyFont="1" applyFill="1" applyBorder="1" applyAlignment="1">
      <alignment horizontal="left" vertical="center"/>
    </xf>
    <xf numFmtId="0" fontId="15" fillId="16" borderId="25" xfId="0" applyFont="1" applyFill="1" applyBorder="1" applyAlignment="1">
      <alignment horizontal="left" vertical="center"/>
    </xf>
    <xf numFmtId="0" fontId="35" fillId="15" borderId="25" xfId="0" applyFont="1" applyFill="1" applyBorder="1" applyAlignment="1">
      <alignment horizontal="left" vertical="center"/>
    </xf>
    <xf numFmtId="0" fontId="35" fillId="15" borderId="27" xfId="0" applyFont="1" applyFill="1" applyBorder="1" applyAlignment="1">
      <alignment horizontal="left" vertical="center"/>
    </xf>
    <xf numFmtId="0" fontId="12" fillId="3" borderId="0" xfId="0" applyFont="1" applyFill="1" applyAlignment="1">
      <alignment vertical="center" wrapText="1"/>
    </xf>
    <xf numFmtId="0" fontId="58" fillId="0" borderId="0" xfId="1" applyFont="1" applyAlignment="1">
      <alignment horizontal="left" vertical="center"/>
    </xf>
    <xf numFmtId="0" fontId="36" fillId="0" borderId="0" xfId="0" applyFont="1"/>
    <xf numFmtId="0" fontId="0" fillId="16" borderId="25" xfId="0" applyFill="1" applyBorder="1" applyAlignment="1">
      <alignment vertical="center"/>
    </xf>
    <xf numFmtId="0" fontId="35" fillId="15" borderId="34" xfId="0" applyFont="1" applyFill="1" applyBorder="1" applyAlignment="1">
      <alignment horizontal="left" vertical="center"/>
    </xf>
    <xf numFmtId="0" fontId="15" fillId="0" borderId="32" xfId="0" applyFont="1" applyBorder="1" applyAlignment="1">
      <alignment horizontal="left" vertical="center"/>
    </xf>
    <xf numFmtId="0" fontId="35" fillId="16" borderId="39" xfId="0" applyFont="1" applyFill="1" applyBorder="1" applyAlignment="1">
      <alignment horizontal="left" vertical="center"/>
    </xf>
    <xf numFmtId="0" fontId="15" fillId="16" borderId="22" xfId="0" applyFont="1" applyFill="1" applyBorder="1" applyAlignment="1">
      <alignment horizontal="left" vertical="center"/>
    </xf>
    <xf numFmtId="0" fontId="35" fillId="16" borderId="25" xfId="0" applyFont="1" applyFill="1" applyBorder="1" applyAlignment="1">
      <alignment horizontal="left" vertical="center"/>
    </xf>
    <xf numFmtId="0" fontId="35" fillId="16" borderId="27" xfId="0" applyFont="1" applyFill="1" applyBorder="1" applyAlignment="1">
      <alignment horizontal="left" vertical="center"/>
    </xf>
    <xf numFmtId="0" fontId="42" fillId="16" borderId="23" xfId="0" applyFont="1" applyFill="1" applyBorder="1" applyAlignment="1">
      <alignment horizontal="center" vertical="center"/>
    </xf>
    <xf numFmtId="0" fontId="43" fillId="16" borderId="23" xfId="0" applyFont="1" applyFill="1" applyBorder="1" applyAlignment="1">
      <alignment horizontal="center" vertical="center"/>
    </xf>
    <xf numFmtId="0" fontId="42" fillId="8" borderId="23" xfId="0" applyFont="1" applyFill="1" applyBorder="1" applyAlignment="1">
      <alignment horizontal="center" vertical="center"/>
    </xf>
    <xf numFmtId="0" fontId="43" fillId="8" borderId="23" xfId="0" applyFont="1" applyFill="1" applyBorder="1" applyAlignment="1">
      <alignment horizontal="center" vertical="center"/>
    </xf>
    <xf numFmtId="0" fontId="54" fillId="0" borderId="0" xfId="0" applyFont="1" applyAlignment="1">
      <alignment horizontal="center" vertical="center" wrapText="1"/>
    </xf>
    <xf numFmtId="0" fontId="11" fillId="0" borderId="34" xfId="0" applyFont="1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0" fontId="42" fillId="5" borderId="23" xfId="0" applyFont="1" applyFill="1" applyBorder="1" applyAlignment="1">
      <alignment horizontal="center" vertical="center"/>
    </xf>
    <xf numFmtId="0" fontId="43" fillId="5" borderId="23" xfId="0" applyFont="1" applyFill="1" applyBorder="1" applyAlignment="1">
      <alignment horizontal="center" vertical="center"/>
    </xf>
    <xf numFmtId="0" fontId="21" fillId="0" borderId="0" xfId="1" applyFont="1" applyAlignment="1"/>
    <xf numFmtId="0" fontId="12" fillId="0" borderId="39" xfId="0" applyFont="1" applyBorder="1" applyAlignment="1">
      <alignment vertical="center" wrapText="1"/>
    </xf>
    <xf numFmtId="0" fontId="12" fillId="0" borderId="22" xfId="0" applyFont="1" applyBorder="1" applyAlignment="1">
      <alignment vertical="center" wrapText="1"/>
    </xf>
    <xf numFmtId="0" fontId="42" fillId="0" borderId="23" xfId="0" applyFont="1" applyBorder="1" applyAlignment="1">
      <alignment horizontal="left" vertical="center"/>
    </xf>
    <xf numFmtId="0" fontId="0" fillId="0" borderId="23" xfId="0" applyBorder="1" applyAlignment="1">
      <alignment horizontal="left" vertical="center"/>
    </xf>
    <xf numFmtId="0" fontId="42" fillId="0" borderId="24" xfId="0" applyFont="1" applyBorder="1" applyAlignment="1">
      <alignment horizontal="left" vertical="center"/>
    </xf>
    <xf numFmtId="0" fontId="42" fillId="0" borderId="25" xfId="0" applyFont="1" applyBorder="1" applyAlignment="1">
      <alignment horizontal="left" vertical="center"/>
    </xf>
    <xf numFmtId="0" fontId="42" fillId="0" borderId="27" xfId="0" applyFont="1" applyBorder="1" applyAlignment="1">
      <alignment horizontal="left" vertical="center"/>
    </xf>
    <xf numFmtId="0" fontId="42" fillId="3" borderId="0" xfId="0" applyFont="1" applyFill="1" applyAlignment="1">
      <alignment horizontal="center" vertical="center"/>
    </xf>
    <xf numFmtId="0" fontId="43" fillId="3" borderId="0" xfId="0" applyFont="1" applyFill="1" applyAlignment="1">
      <alignment horizontal="center" vertical="center"/>
    </xf>
    <xf numFmtId="0" fontId="42" fillId="2" borderId="24" xfId="0" applyFont="1" applyFill="1" applyBorder="1" applyAlignment="1">
      <alignment horizontal="center" vertical="center"/>
    </xf>
    <xf numFmtId="0" fontId="42" fillId="2" borderId="25" xfId="0" applyFont="1" applyFill="1" applyBorder="1" applyAlignment="1">
      <alignment horizontal="center" vertical="center"/>
    </xf>
    <xf numFmtId="0" fontId="42" fillId="2" borderId="27" xfId="0" applyFont="1" applyFill="1" applyBorder="1" applyAlignment="1">
      <alignment horizontal="center" vertical="center"/>
    </xf>
    <xf numFmtId="0" fontId="42" fillId="3" borderId="35" xfId="0" applyFont="1" applyFill="1" applyBorder="1" applyAlignment="1">
      <alignment horizontal="center" vertical="center"/>
    </xf>
    <xf numFmtId="0" fontId="42" fillId="0" borderId="24" xfId="0" applyFont="1" applyBorder="1" applyAlignment="1">
      <alignment horizontal="center" vertical="center"/>
    </xf>
    <xf numFmtId="0" fontId="42" fillId="0" borderId="25" xfId="0" applyFont="1" applyBorder="1" applyAlignment="1">
      <alignment horizontal="center" vertical="center"/>
    </xf>
    <xf numFmtId="0" fontId="42" fillId="0" borderId="27" xfId="0" applyFont="1" applyBorder="1" applyAlignment="1">
      <alignment horizontal="center" vertical="center"/>
    </xf>
    <xf numFmtId="0" fontId="11" fillId="2" borderId="26" xfId="0" applyFont="1" applyFill="1" applyBorder="1" applyAlignment="1">
      <alignment vertical="center" wrapText="1"/>
    </xf>
    <xf numFmtId="0" fontId="0" fillId="0" borderId="23" xfId="0" applyBorder="1" applyAlignment="1">
      <alignment horizontal="center" vertical="center"/>
    </xf>
    <xf numFmtId="0" fontId="11" fillId="2" borderId="39" xfId="0" applyFont="1" applyFill="1" applyBorder="1" applyAlignment="1">
      <alignment horizontal="left" vertical="center" wrapText="1"/>
    </xf>
    <xf numFmtId="0" fontId="0" fillId="0" borderId="22" xfId="0" applyBorder="1" applyAlignment="1">
      <alignment vertical="center" wrapText="1"/>
    </xf>
    <xf numFmtId="0" fontId="0" fillId="0" borderId="25" xfId="0" applyBorder="1" applyAlignment="1">
      <alignment wrapText="1"/>
    </xf>
  </cellXfs>
  <cellStyles count="50">
    <cellStyle name="Currency" xfId="46" builtinId="4"/>
    <cellStyle name="Explanatory Text" xfId="47" builtinId="53"/>
    <cellStyle name="Hyperlink" xfId="1" builtinId="8"/>
    <cellStyle name="Normal" xfId="0" builtinId="0"/>
    <cellStyle name="Normal 11" xfId="30" xr:uid="{31368C7F-8473-43FC-BF55-CDBB68E4E209}"/>
    <cellStyle name="Normal 13" xfId="31" xr:uid="{9112E3CA-2EA0-41E9-BF0B-A8CCE21E153A}"/>
    <cellStyle name="Normal 14" xfId="32" xr:uid="{F0D3F051-EEB4-46A5-991F-021F295E5AB9}"/>
    <cellStyle name="Normal 15" xfId="33" xr:uid="{9336CF38-6026-4CF8-A870-E34F73C594BF}"/>
    <cellStyle name="Normal 16" xfId="34" xr:uid="{D1EC00BD-BB24-4215-A650-8BED625408F1}"/>
    <cellStyle name="Normal 17" xfId="37" xr:uid="{AF6A7F03-8EEB-4501-9545-86045D43755D}"/>
    <cellStyle name="Normal 17 2" xfId="49" xr:uid="{FC04C8B2-ACFE-4871-9C8B-7F597C6C63C0}"/>
    <cellStyle name="Normal 18" xfId="17" xr:uid="{AE23B268-BAC3-4C26-BC3A-94C77B1560A7}"/>
    <cellStyle name="Normal 19" xfId="38" xr:uid="{E4F58BAF-56ED-4255-BC18-3A2E50F57DD6}"/>
    <cellStyle name="Normal 2" xfId="3" xr:uid="{C65C2DF0-71CF-4F04-B4D7-BF3571E708D1}"/>
    <cellStyle name="Normal 2 2" xfId="23" xr:uid="{5B02BCB3-63AD-4FEB-9C09-53796BB56D80}"/>
    <cellStyle name="Normal 20" xfId="39" xr:uid="{3BADF870-51AE-490D-93FF-FE6FC0A67BD3}"/>
    <cellStyle name="Normal 21" xfId="42" xr:uid="{A35FE02A-E7CB-4363-8BE0-66AC5BFC3F51}"/>
    <cellStyle name="Normal 3" xfId="6" xr:uid="{1D4D0063-F581-4871-95F1-B2DBA5B12FD7}"/>
    <cellStyle name="Normal 6" xfId="22" xr:uid="{8B3103A7-C46F-4056-B492-106D932FEA55}"/>
    <cellStyle name="Normal 7" xfId="25" xr:uid="{56B4C6A3-1A91-4904-B3CC-6875BEA993B4}"/>
    <cellStyle name="Normal 8" xfId="4" xr:uid="{08FC027A-F86C-4EF9-97F7-C8F0DF8EFC58}"/>
    <cellStyle name="Normal 8 2" xfId="7" xr:uid="{B96F64E9-86DE-4140-BE54-8937F753C3FD}"/>
    <cellStyle name="Normal 8 5" xfId="48" xr:uid="{2349426A-49F4-492B-89FC-42AE2E4F01C7}"/>
    <cellStyle name="Normal 9" xfId="27" xr:uid="{C9D036EA-0952-4AB1-AE47-EE810141019C}"/>
    <cellStyle name="Standaard 10 2" xfId="24" xr:uid="{54EB4CA6-205D-4156-869D-AA96943CFF5D}"/>
    <cellStyle name="Standaard 11" xfId="43" xr:uid="{6F43EDCF-60E2-461A-973D-3F00CEE70769}"/>
    <cellStyle name="Standaard 12" xfId="44" xr:uid="{98945F1A-9E48-4102-970A-58A1034106D2}"/>
    <cellStyle name="Standaard 16 2" xfId="29" xr:uid="{D70E2401-E3AB-4B2D-B618-403D332A7E8E}"/>
    <cellStyle name="Standaard 17 2" xfId="35" xr:uid="{AA6A8A2A-A36B-4065-BAAC-F174DCFE383B}"/>
    <cellStyle name="Standaard 18 2" xfId="36" xr:uid="{54C2F56A-8DB2-4A66-A20D-B489EC999301}"/>
    <cellStyle name="Standaard 19 2" xfId="26" xr:uid="{255994E9-E246-4A02-AC63-CF85EC9F406F}"/>
    <cellStyle name="Standaard 2" xfId="2" xr:uid="{E73FD6DC-D8DB-495B-AC54-917E0F635E4D}"/>
    <cellStyle name="Standaard 20 2" xfId="28" xr:uid="{543272E6-3CDE-413C-86C8-8D1EDFCA7FC5}"/>
    <cellStyle name="Standaard 22 2" xfId="11" xr:uid="{8E6B1D6A-5434-40C8-BB4B-DE5DD5850E30}"/>
    <cellStyle name="Standaard 23 2" xfId="12" xr:uid="{5A6009F5-80B4-43F7-B687-70FC31497B2F}"/>
    <cellStyle name="Standaard 27 2" xfId="9" xr:uid="{6D41A5A5-629F-4284-AB75-68043C830F21}"/>
    <cellStyle name="Standaard 30 2" xfId="10" xr:uid="{362EF7B0-A7EE-4756-B20A-38F40721A162}"/>
    <cellStyle name="Standaard 31 2" xfId="5" xr:uid="{4E363544-BB0E-4EC0-A9C5-8E5994217757}"/>
    <cellStyle name="Standaard 4 2" xfId="8" xr:uid="{D1D8FEA8-E01E-4A83-94EF-CADC39AB01DC}"/>
    <cellStyle name="Standaard 42" xfId="45" xr:uid="{642E834B-EA56-4763-B232-DB22AD3D461D}"/>
    <cellStyle name="Standaard 52 2" xfId="40" xr:uid="{8524466F-9D46-4630-9030-DE304FB0528D}"/>
    <cellStyle name="Standaard 53 2" xfId="41" xr:uid="{6DEBD573-F4A4-49E5-AD71-F97B5706D064}"/>
    <cellStyle name="Standaard 62 2" xfId="19" xr:uid="{D057AD20-6908-4CAA-B04A-20E06BEA4755}"/>
    <cellStyle name="Standaard 63 2" xfId="20" xr:uid="{52D6597D-12A5-419D-80E8-11BB202310C2}"/>
    <cellStyle name="Standaard 64 2" xfId="21" xr:uid="{BEA94062-34AE-4FB2-810E-3B59D571DC5B}"/>
    <cellStyle name="Standaard 65" xfId="14" xr:uid="{F2203D84-F144-4B33-B41B-25F19CDCC341}"/>
    <cellStyle name="Standaard 66 2" xfId="13" xr:uid="{8963DC9D-84D1-495D-8171-6BCA48CE7DD3}"/>
    <cellStyle name="Standaard 68 2" xfId="15" xr:uid="{E11A5555-7C20-4153-BBE5-EB94A19E6D17}"/>
    <cellStyle name="Standaard 69 2" xfId="16" xr:uid="{3E4AD7D8-3B2D-4D71-A1E2-9E5AB7F04665}"/>
    <cellStyle name="Standaard 7 2" xfId="18" xr:uid="{4B270711-3CE7-4379-88B7-48B4E2AA4A82}"/>
  </cellStyles>
  <dxfs count="21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66FF33"/>
      <color rgb="FFFF66FF"/>
      <color rgb="FF66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3.png"/><Relationship Id="rId7" Type="http://schemas.openxmlformats.org/officeDocument/2006/relationships/image" Target="../media/image6.png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6" Type="http://schemas.openxmlformats.org/officeDocument/2006/relationships/image" Target="../media/image5.png"/><Relationship Id="rId11" Type="http://schemas.openxmlformats.org/officeDocument/2006/relationships/image" Target="../media/image9.png"/><Relationship Id="rId5" Type="http://schemas.openxmlformats.org/officeDocument/2006/relationships/image" Target="../media/image37.png"/><Relationship Id="rId10" Type="http://schemas.openxmlformats.org/officeDocument/2006/relationships/image" Target="../media/image8.png"/><Relationship Id="rId4" Type="http://schemas.openxmlformats.org/officeDocument/2006/relationships/image" Target="../media/image4.png"/><Relationship Id="rId9" Type="http://schemas.openxmlformats.org/officeDocument/2006/relationships/image" Target="../media/image38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7.png"/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3.png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6" Type="http://schemas.openxmlformats.org/officeDocument/2006/relationships/image" Target="../media/image40.png"/><Relationship Id="rId11" Type="http://schemas.openxmlformats.org/officeDocument/2006/relationships/image" Target="../media/image9.png"/><Relationship Id="rId5" Type="http://schemas.openxmlformats.org/officeDocument/2006/relationships/image" Target="../media/image38.png"/><Relationship Id="rId10" Type="http://schemas.openxmlformats.org/officeDocument/2006/relationships/image" Target="../media/image8.png"/><Relationship Id="rId4" Type="http://schemas.openxmlformats.org/officeDocument/2006/relationships/image" Target="../media/image39.png"/><Relationship Id="rId9" Type="http://schemas.openxmlformats.org/officeDocument/2006/relationships/image" Target="../media/image7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3.png"/><Relationship Id="rId7" Type="http://schemas.openxmlformats.org/officeDocument/2006/relationships/image" Target="../media/image6.png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6" Type="http://schemas.openxmlformats.org/officeDocument/2006/relationships/image" Target="../media/image5.png"/><Relationship Id="rId11" Type="http://schemas.openxmlformats.org/officeDocument/2006/relationships/image" Target="../media/image9.png"/><Relationship Id="rId5" Type="http://schemas.openxmlformats.org/officeDocument/2006/relationships/image" Target="../media/image38.png"/><Relationship Id="rId10" Type="http://schemas.openxmlformats.org/officeDocument/2006/relationships/image" Target="../media/image8.png"/><Relationship Id="rId4" Type="http://schemas.openxmlformats.org/officeDocument/2006/relationships/image" Target="../media/image39.png"/><Relationship Id="rId9" Type="http://schemas.openxmlformats.org/officeDocument/2006/relationships/image" Target="../media/image4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3.png"/><Relationship Id="rId7" Type="http://schemas.openxmlformats.org/officeDocument/2006/relationships/image" Target="../media/image6.png"/><Relationship Id="rId12" Type="http://schemas.openxmlformats.org/officeDocument/2006/relationships/image" Target="../media/image9.png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6" Type="http://schemas.openxmlformats.org/officeDocument/2006/relationships/image" Target="../media/image5.png"/><Relationship Id="rId11" Type="http://schemas.openxmlformats.org/officeDocument/2006/relationships/image" Target="../media/image44.png"/><Relationship Id="rId5" Type="http://schemas.openxmlformats.org/officeDocument/2006/relationships/image" Target="../media/image42.jpeg"/><Relationship Id="rId10" Type="http://schemas.openxmlformats.org/officeDocument/2006/relationships/image" Target="../media/image8.png"/><Relationship Id="rId4" Type="http://schemas.openxmlformats.org/officeDocument/2006/relationships/image" Target="../media/image38.png"/><Relationship Id="rId9" Type="http://schemas.openxmlformats.org/officeDocument/2006/relationships/image" Target="../media/image43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.png"/><Relationship Id="rId3" Type="http://schemas.openxmlformats.org/officeDocument/2006/relationships/image" Target="../media/image6.png"/><Relationship Id="rId7" Type="http://schemas.openxmlformats.org/officeDocument/2006/relationships/image" Target="../media/image46.png"/><Relationship Id="rId2" Type="http://schemas.openxmlformats.org/officeDocument/2006/relationships/image" Target="../media/image5.png"/><Relationship Id="rId1" Type="http://schemas.openxmlformats.org/officeDocument/2006/relationships/image" Target="../media/image2.png"/><Relationship Id="rId6" Type="http://schemas.openxmlformats.org/officeDocument/2006/relationships/image" Target="../media/image45.png"/><Relationship Id="rId5" Type="http://schemas.openxmlformats.org/officeDocument/2006/relationships/image" Target="../media/image8.png"/><Relationship Id="rId10" Type="http://schemas.openxmlformats.org/officeDocument/2006/relationships/image" Target="../media/image9.png"/><Relationship Id="rId4" Type="http://schemas.openxmlformats.org/officeDocument/2006/relationships/image" Target="../media/image7.png"/><Relationship Id="rId9" Type="http://schemas.openxmlformats.org/officeDocument/2006/relationships/image" Target="../media/image48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9.png"/><Relationship Id="rId13" Type="http://schemas.openxmlformats.org/officeDocument/2006/relationships/image" Target="../media/image5.png"/><Relationship Id="rId18" Type="http://schemas.openxmlformats.org/officeDocument/2006/relationships/image" Target="../media/image47.png"/><Relationship Id="rId3" Type="http://schemas.openxmlformats.org/officeDocument/2006/relationships/image" Target="../media/image3.png"/><Relationship Id="rId21" Type="http://schemas.openxmlformats.org/officeDocument/2006/relationships/image" Target="../media/image44.png"/><Relationship Id="rId7" Type="http://schemas.openxmlformats.org/officeDocument/2006/relationships/image" Target="../media/image12.png"/><Relationship Id="rId12" Type="http://schemas.openxmlformats.org/officeDocument/2006/relationships/image" Target="../media/image40.png"/><Relationship Id="rId17" Type="http://schemas.openxmlformats.org/officeDocument/2006/relationships/image" Target="../media/image51.png"/><Relationship Id="rId2" Type="http://schemas.openxmlformats.org/officeDocument/2006/relationships/image" Target="../media/image2.png"/><Relationship Id="rId16" Type="http://schemas.openxmlformats.org/officeDocument/2006/relationships/image" Target="../media/image43.png"/><Relationship Id="rId20" Type="http://schemas.openxmlformats.org/officeDocument/2006/relationships/image" Target="../media/image46.png"/><Relationship Id="rId1" Type="http://schemas.openxmlformats.org/officeDocument/2006/relationships/image" Target="../media/image1.emf"/><Relationship Id="rId6" Type="http://schemas.openxmlformats.org/officeDocument/2006/relationships/image" Target="../media/image39.png"/><Relationship Id="rId11" Type="http://schemas.openxmlformats.org/officeDocument/2006/relationships/image" Target="../media/image42.jpeg"/><Relationship Id="rId5" Type="http://schemas.openxmlformats.org/officeDocument/2006/relationships/image" Target="../media/image37.png"/><Relationship Id="rId15" Type="http://schemas.openxmlformats.org/officeDocument/2006/relationships/image" Target="../media/image7.png"/><Relationship Id="rId23" Type="http://schemas.openxmlformats.org/officeDocument/2006/relationships/image" Target="../media/image8.png"/><Relationship Id="rId10" Type="http://schemas.openxmlformats.org/officeDocument/2006/relationships/image" Target="../media/image38.png"/><Relationship Id="rId19" Type="http://schemas.openxmlformats.org/officeDocument/2006/relationships/image" Target="../media/image48.png"/><Relationship Id="rId4" Type="http://schemas.openxmlformats.org/officeDocument/2006/relationships/image" Target="../media/image4.png"/><Relationship Id="rId9" Type="http://schemas.openxmlformats.org/officeDocument/2006/relationships/image" Target="../media/image50.png"/><Relationship Id="rId14" Type="http://schemas.openxmlformats.org/officeDocument/2006/relationships/image" Target="../media/image6.png"/><Relationship Id="rId22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12.png"/><Relationship Id="rId7" Type="http://schemas.openxmlformats.org/officeDocument/2006/relationships/image" Target="../media/image8.png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3.png"/><Relationship Id="rId7" Type="http://schemas.openxmlformats.org/officeDocument/2006/relationships/image" Target="../media/image6.png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6" Type="http://schemas.openxmlformats.org/officeDocument/2006/relationships/image" Target="../media/image5.png"/><Relationship Id="rId5" Type="http://schemas.openxmlformats.org/officeDocument/2006/relationships/image" Target="../media/image12.png"/><Relationship Id="rId10" Type="http://schemas.openxmlformats.org/officeDocument/2006/relationships/image" Target="../media/image9.png"/><Relationship Id="rId4" Type="http://schemas.openxmlformats.org/officeDocument/2006/relationships/image" Target="../media/image4.png"/><Relationship Id="rId9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13" Type="http://schemas.openxmlformats.org/officeDocument/2006/relationships/image" Target="../media/image22.png"/><Relationship Id="rId3" Type="http://schemas.openxmlformats.org/officeDocument/2006/relationships/image" Target="../media/image5.png"/><Relationship Id="rId7" Type="http://schemas.openxmlformats.org/officeDocument/2006/relationships/image" Target="../media/image16.png"/><Relationship Id="rId12" Type="http://schemas.openxmlformats.org/officeDocument/2006/relationships/image" Target="../media/image21.png"/><Relationship Id="rId17" Type="http://schemas.openxmlformats.org/officeDocument/2006/relationships/image" Target="../media/image26.png"/><Relationship Id="rId2" Type="http://schemas.openxmlformats.org/officeDocument/2006/relationships/image" Target="../media/image13.png"/><Relationship Id="rId16" Type="http://schemas.openxmlformats.org/officeDocument/2006/relationships/image" Target="../media/image25.png"/><Relationship Id="rId1" Type="http://schemas.openxmlformats.org/officeDocument/2006/relationships/image" Target="../media/image2.png"/><Relationship Id="rId6" Type="http://schemas.openxmlformats.org/officeDocument/2006/relationships/image" Target="../media/image15.png"/><Relationship Id="rId11" Type="http://schemas.openxmlformats.org/officeDocument/2006/relationships/image" Target="../media/image20.png"/><Relationship Id="rId5" Type="http://schemas.openxmlformats.org/officeDocument/2006/relationships/image" Target="../media/image14.png"/><Relationship Id="rId15" Type="http://schemas.openxmlformats.org/officeDocument/2006/relationships/image" Target="../media/image24.png"/><Relationship Id="rId10" Type="http://schemas.openxmlformats.org/officeDocument/2006/relationships/image" Target="../media/image19.png"/><Relationship Id="rId4" Type="http://schemas.openxmlformats.org/officeDocument/2006/relationships/image" Target="../media/image8.png"/><Relationship Id="rId9" Type="http://schemas.openxmlformats.org/officeDocument/2006/relationships/image" Target="../media/image18.png"/><Relationship Id="rId14" Type="http://schemas.openxmlformats.org/officeDocument/2006/relationships/image" Target="../media/image23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13" Type="http://schemas.openxmlformats.org/officeDocument/2006/relationships/image" Target="../media/image33.png"/><Relationship Id="rId3" Type="http://schemas.openxmlformats.org/officeDocument/2006/relationships/image" Target="../media/image8.png"/><Relationship Id="rId7" Type="http://schemas.openxmlformats.org/officeDocument/2006/relationships/image" Target="../media/image30.png"/><Relationship Id="rId12" Type="http://schemas.openxmlformats.org/officeDocument/2006/relationships/image" Target="../media/image32.png"/><Relationship Id="rId2" Type="http://schemas.openxmlformats.org/officeDocument/2006/relationships/image" Target="../media/image5.png"/><Relationship Id="rId1" Type="http://schemas.openxmlformats.org/officeDocument/2006/relationships/image" Target="../media/image2.png"/><Relationship Id="rId6" Type="http://schemas.openxmlformats.org/officeDocument/2006/relationships/image" Target="../media/image29.png"/><Relationship Id="rId11" Type="http://schemas.openxmlformats.org/officeDocument/2006/relationships/image" Target="../media/image23.png"/><Relationship Id="rId5" Type="http://schemas.openxmlformats.org/officeDocument/2006/relationships/image" Target="../media/image15.png"/><Relationship Id="rId10" Type="http://schemas.openxmlformats.org/officeDocument/2006/relationships/image" Target="../media/image31.png"/><Relationship Id="rId4" Type="http://schemas.openxmlformats.org/officeDocument/2006/relationships/image" Target="../media/image14.png"/><Relationship Id="rId9" Type="http://schemas.openxmlformats.org/officeDocument/2006/relationships/image" Target="../media/image18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png"/><Relationship Id="rId13" Type="http://schemas.openxmlformats.org/officeDocument/2006/relationships/image" Target="../media/image23.png"/><Relationship Id="rId3" Type="http://schemas.openxmlformats.org/officeDocument/2006/relationships/image" Target="../media/image5.png"/><Relationship Id="rId7" Type="http://schemas.openxmlformats.org/officeDocument/2006/relationships/image" Target="../media/image16.png"/><Relationship Id="rId12" Type="http://schemas.openxmlformats.org/officeDocument/2006/relationships/image" Target="../media/image31.png"/><Relationship Id="rId2" Type="http://schemas.openxmlformats.org/officeDocument/2006/relationships/image" Target="../media/image13.png"/><Relationship Id="rId16" Type="http://schemas.openxmlformats.org/officeDocument/2006/relationships/image" Target="../media/image26.png"/><Relationship Id="rId1" Type="http://schemas.openxmlformats.org/officeDocument/2006/relationships/image" Target="../media/image2.png"/><Relationship Id="rId6" Type="http://schemas.openxmlformats.org/officeDocument/2006/relationships/image" Target="../media/image15.png"/><Relationship Id="rId11" Type="http://schemas.openxmlformats.org/officeDocument/2006/relationships/image" Target="../media/image18.png"/><Relationship Id="rId5" Type="http://schemas.openxmlformats.org/officeDocument/2006/relationships/image" Target="../media/image14.png"/><Relationship Id="rId15" Type="http://schemas.openxmlformats.org/officeDocument/2006/relationships/image" Target="../media/image33.png"/><Relationship Id="rId10" Type="http://schemas.openxmlformats.org/officeDocument/2006/relationships/image" Target="../media/image17.png"/><Relationship Id="rId4" Type="http://schemas.openxmlformats.org/officeDocument/2006/relationships/image" Target="../media/image8.png"/><Relationship Id="rId9" Type="http://schemas.openxmlformats.org/officeDocument/2006/relationships/image" Target="../media/image30.png"/><Relationship Id="rId14" Type="http://schemas.openxmlformats.org/officeDocument/2006/relationships/image" Target="../media/image34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6.png"/><Relationship Id="rId1" Type="http://schemas.openxmlformats.org/officeDocument/2006/relationships/image" Target="../media/image35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3.png"/><Relationship Id="rId7" Type="http://schemas.openxmlformats.org/officeDocument/2006/relationships/image" Target="../media/image6.png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6" Type="http://schemas.openxmlformats.org/officeDocument/2006/relationships/image" Target="../media/image5.png"/><Relationship Id="rId5" Type="http://schemas.openxmlformats.org/officeDocument/2006/relationships/image" Target="../media/image38.png"/><Relationship Id="rId10" Type="http://schemas.openxmlformats.org/officeDocument/2006/relationships/image" Target="../media/image9.png"/><Relationship Id="rId4" Type="http://schemas.openxmlformats.org/officeDocument/2006/relationships/image" Target="../media/image37.png"/><Relationship Id="rId9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image" Target="../media/image27.png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image" Target="../media/image27.png"/></Relationships>
</file>

<file path=xl/drawings/_rels/vmlDrawing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vmlDrawing1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vmlDrawing1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vmlDrawing2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vmlDrawing2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vmlDrawing2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vmlDrawing2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vmlDrawing2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628649</xdr:colOff>
      <xdr:row>12</xdr:row>
      <xdr:rowOff>333375</xdr:rowOff>
    </xdr:from>
    <xdr:to>
      <xdr:col>2</xdr:col>
      <xdr:colOff>2126960</xdr:colOff>
      <xdr:row>17</xdr:row>
      <xdr:rowOff>8474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146375-C4F7-489E-9890-C7663E365B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7824" y="2990850"/>
          <a:ext cx="1501486" cy="1307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228599</xdr:colOff>
      <xdr:row>11</xdr:row>
      <xdr:rowOff>266698</xdr:rowOff>
    </xdr:from>
    <xdr:to>
      <xdr:col>6</xdr:col>
      <xdr:colOff>950493</xdr:colOff>
      <xdr:row>16</xdr:row>
      <xdr:rowOff>76199</xdr:rowOff>
    </xdr:to>
    <xdr:pic>
      <xdr:nvPicPr>
        <xdr:cNvPr id="4" name="Imagine 8">
          <a:extLst>
            <a:ext uri="{FF2B5EF4-FFF2-40B4-BE49-F238E27FC236}">
              <a16:creationId xmlns:a16="http://schemas.microsoft.com/office/drawing/2014/main" id="{71445E0B-461E-493A-BA51-E14C89FAE7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4" y="2571748"/>
          <a:ext cx="1483894" cy="1524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247650</xdr:colOff>
      <xdr:row>11</xdr:row>
      <xdr:rowOff>38099</xdr:rowOff>
    </xdr:from>
    <xdr:to>
      <xdr:col>2</xdr:col>
      <xdr:colOff>215900</xdr:colOff>
      <xdr:row>12</xdr:row>
      <xdr:rowOff>161723</xdr:rowOff>
    </xdr:to>
    <xdr:pic>
      <xdr:nvPicPr>
        <xdr:cNvPr id="5" name="Imagine 9">
          <a:extLst>
            <a:ext uri="{FF2B5EF4-FFF2-40B4-BE49-F238E27FC236}">
              <a16:creationId xmlns:a16="http://schemas.microsoft.com/office/drawing/2014/main" id="{DA08F5F0-3280-4BBB-A99D-F4A49AC2CE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2400299"/>
          <a:ext cx="704850" cy="472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12</xdr:row>
      <xdr:rowOff>285750</xdr:rowOff>
    </xdr:from>
    <xdr:to>
      <xdr:col>2</xdr:col>
      <xdr:colOff>781050</xdr:colOff>
      <xdr:row>16</xdr:row>
      <xdr:rowOff>198317</xdr:rowOff>
    </xdr:to>
    <xdr:pic>
      <xdr:nvPicPr>
        <xdr:cNvPr id="6" name="Picture 21">
          <a:extLst>
            <a:ext uri="{FF2B5EF4-FFF2-40B4-BE49-F238E27FC236}">
              <a16:creationId xmlns:a16="http://schemas.microsoft.com/office/drawing/2014/main" id="{85C48A64-801D-420C-A857-679FFED87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7150" y="2943225"/>
          <a:ext cx="1762125" cy="1271467"/>
        </a:xfrm>
        <a:prstGeom prst="rect">
          <a:avLst/>
        </a:prstGeom>
      </xdr:spPr>
    </xdr:pic>
    <xdr:clientData/>
  </xdr:twoCellAnchor>
  <xdr:twoCellAnchor editAs="oneCell">
    <xdr:from>
      <xdr:col>2</xdr:col>
      <xdr:colOff>3314700</xdr:colOff>
      <xdr:row>11</xdr:row>
      <xdr:rowOff>276225</xdr:rowOff>
    </xdr:from>
    <xdr:to>
      <xdr:col>5</xdr:col>
      <xdr:colOff>158750</xdr:colOff>
      <xdr:row>15</xdr:row>
      <xdr:rowOff>302079</xdr:rowOff>
    </xdr:to>
    <xdr:pic>
      <xdr:nvPicPr>
        <xdr:cNvPr id="20" name="Imagine 19">
          <a:extLst>
            <a:ext uri="{FF2B5EF4-FFF2-40B4-BE49-F238E27FC236}">
              <a16:creationId xmlns:a16="http://schemas.microsoft.com/office/drawing/2014/main" id="{D95339DB-25BE-4515-BAA4-DEBF2A189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333875" y="2581275"/>
          <a:ext cx="1552575" cy="1330779"/>
        </a:xfrm>
        <a:prstGeom prst="rect">
          <a:avLst/>
        </a:prstGeom>
      </xdr:spPr>
    </xdr:pic>
    <xdr:clientData/>
  </xdr:twoCellAnchor>
  <xdr:twoCellAnchor editAs="oneCell">
    <xdr:from>
      <xdr:col>2</xdr:col>
      <xdr:colOff>2006238</xdr:colOff>
      <xdr:row>11</xdr:row>
      <xdr:rowOff>323850</xdr:rowOff>
    </xdr:from>
    <xdr:to>
      <xdr:col>2</xdr:col>
      <xdr:colOff>3302000</xdr:colOff>
      <xdr:row>16</xdr:row>
      <xdr:rowOff>19050</xdr:rowOff>
    </xdr:to>
    <xdr:pic>
      <xdr:nvPicPr>
        <xdr:cNvPr id="21" name="Imagine 20">
          <a:extLst>
            <a:ext uri="{FF2B5EF4-FFF2-40B4-BE49-F238E27FC236}">
              <a16:creationId xmlns:a16="http://schemas.microsoft.com/office/drawing/2014/main" id="{465426B2-FBE6-4F5D-B8C5-623D9DF82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044463" y="2686050"/>
          <a:ext cx="1298937" cy="1409700"/>
        </a:xfrm>
        <a:prstGeom prst="rect">
          <a:avLst/>
        </a:prstGeom>
      </xdr:spPr>
    </xdr:pic>
    <xdr:clientData/>
  </xdr:twoCellAnchor>
  <xdr:twoCellAnchor editAs="oneCell">
    <xdr:from>
      <xdr:col>2</xdr:col>
      <xdr:colOff>885825</xdr:colOff>
      <xdr:row>11</xdr:row>
      <xdr:rowOff>152401</xdr:rowOff>
    </xdr:from>
    <xdr:to>
      <xdr:col>2</xdr:col>
      <xdr:colOff>1562100</xdr:colOff>
      <xdr:row>12</xdr:row>
      <xdr:rowOff>250153</xdr:rowOff>
    </xdr:to>
    <xdr:pic>
      <xdr:nvPicPr>
        <xdr:cNvPr id="22" name="Imagine 21">
          <a:extLst>
            <a:ext uri="{FF2B5EF4-FFF2-40B4-BE49-F238E27FC236}">
              <a16:creationId xmlns:a16="http://schemas.microsoft.com/office/drawing/2014/main" id="{F6873A6D-D62B-4C58-9035-887B9F509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05000" y="2457451"/>
          <a:ext cx="676275" cy="450177"/>
        </a:xfrm>
        <a:prstGeom prst="rect">
          <a:avLst/>
        </a:prstGeom>
      </xdr:spPr>
    </xdr:pic>
    <xdr:clientData/>
  </xdr:twoCellAnchor>
  <xdr:twoCellAnchor editAs="oneCell">
    <xdr:from>
      <xdr:col>2</xdr:col>
      <xdr:colOff>3781427</xdr:colOff>
      <xdr:row>74</xdr:row>
      <xdr:rowOff>228600</xdr:rowOff>
    </xdr:from>
    <xdr:to>
      <xdr:col>6</xdr:col>
      <xdr:colOff>838201</xdr:colOff>
      <xdr:row>78</xdr:row>
      <xdr:rowOff>160318</xdr:rowOff>
    </xdr:to>
    <xdr:pic>
      <xdr:nvPicPr>
        <xdr:cNvPr id="3" name="Imagine 2">
          <a:extLst>
            <a:ext uri="{FF2B5EF4-FFF2-40B4-BE49-F238E27FC236}">
              <a16:creationId xmlns:a16="http://schemas.microsoft.com/office/drawing/2014/main" id="{2B572C85-F6A8-FFCC-38AC-9AA50C884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867277" y="10048875"/>
          <a:ext cx="2790824" cy="700068"/>
        </a:xfrm>
        <a:prstGeom prst="rect">
          <a:avLst/>
        </a:prstGeom>
      </xdr:spPr>
    </xdr:pic>
    <xdr:clientData/>
  </xdr:twoCellAnchor>
  <xdr:twoCellAnchor editAs="oneCell">
    <xdr:from>
      <xdr:col>2</xdr:col>
      <xdr:colOff>4035425</xdr:colOff>
      <xdr:row>96</xdr:row>
      <xdr:rowOff>66675</xdr:rowOff>
    </xdr:from>
    <xdr:to>
      <xdr:col>6</xdr:col>
      <xdr:colOff>930275</xdr:colOff>
      <xdr:row>100</xdr:row>
      <xdr:rowOff>86736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A8882BA7-E7D9-88F6-5B1C-5752AF249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121275" y="12896850"/>
          <a:ext cx="2628900" cy="76301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523874</xdr:colOff>
      <xdr:row>13</xdr:row>
      <xdr:rowOff>28574</xdr:rowOff>
    </xdr:from>
    <xdr:to>
      <xdr:col>2</xdr:col>
      <xdr:colOff>1981200</xdr:colOff>
      <xdr:row>17</xdr:row>
      <xdr:rowOff>20831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E0DB67-B05E-48FD-8897-D5A5800A21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0674" y="3276599"/>
          <a:ext cx="1457326" cy="12686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266699</xdr:colOff>
      <xdr:row>12</xdr:row>
      <xdr:rowOff>57148</xdr:rowOff>
    </xdr:from>
    <xdr:to>
      <xdr:col>6</xdr:col>
      <xdr:colOff>988593</xdr:colOff>
      <xdr:row>16</xdr:row>
      <xdr:rowOff>222249</xdr:rowOff>
    </xdr:to>
    <xdr:pic>
      <xdr:nvPicPr>
        <xdr:cNvPr id="4" name="Imagine 8">
          <a:extLst>
            <a:ext uri="{FF2B5EF4-FFF2-40B4-BE49-F238E27FC236}">
              <a16:creationId xmlns:a16="http://schemas.microsoft.com/office/drawing/2014/main" id="{207DC6E0-D809-44E9-8441-F07113F1E8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2174" y="2714623"/>
          <a:ext cx="1483894" cy="1524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600075</xdr:colOff>
      <xdr:row>11</xdr:row>
      <xdr:rowOff>66674</xdr:rowOff>
    </xdr:from>
    <xdr:to>
      <xdr:col>2</xdr:col>
      <xdr:colOff>1301750</xdr:colOff>
      <xdr:row>12</xdr:row>
      <xdr:rowOff>183948</xdr:rowOff>
    </xdr:to>
    <xdr:pic>
      <xdr:nvPicPr>
        <xdr:cNvPr id="5" name="Imagine 9">
          <a:extLst>
            <a:ext uri="{FF2B5EF4-FFF2-40B4-BE49-F238E27FC236}">
              <a16:creationId xmlns:a16="http://schemas.microsoft.com/office/drawing/2014/main" id="{C68A160C-6F6D-4A73-9787-5829166704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75" y="2609849"/>
          <a:ext cx="704850" cy="472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123824</xdr:colOff>
      <xdr:row>14</xdr:row>
      <xdr:rowOff>209550</xdr:rowOff>
    </xdr:from>
    <xdr:to>
      <xdr:col>2</xdr:col>
      <xdr:colOff>476250</xdr:colOff>
      <xdr:row>16</xdr:row>
      <xdr:rowOff>198706</xdr:rowOff>
    </xdr:to>
    <xdr:pic>
      <xdr:nvPicPr>
        <xdr:cNvPr id="6" name="Picture 21">
          <a:extLst>
            <a:ext uri="{FF2B5EF4-FFF2-40B4-BE49-F238E27FC236}">
              <a16:creationId xmlns:a16="http://schemas.microsoft.com/office/drawing/2014/main" id="{26F795F9-2E93-4E2A-9E80-D83B48EA7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3824" y="3409950"/>
          <a:ext cx="1381126" cy="811481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104774</xdr:colOff>
      <xdr:row>11</xdr:row>
      <xdr:rowOff>76200</xdr:rowOff>
    </xdr:from>
    <xdr:to>
      <xdr:col>2</xdr:col>
      <xdr:colOff>438150</xdr:colOff>
      <xdr:row>14</xdr:row>
      <xdr:rowOff>158750</xdr:rowOff>
    </xdr:to>
    <xdr:pic>
      <xdr:nvPicPr>
        <xdr:cNvPr id="7" name="Picture 18">
          <a:extLst>
            <a:ext uri="{FF2B5EF4-FFF2-40B4-BE49-F238E27FC236}">
              <a16:creationId xmlns:a16="http://schemas.microsoft.com/office/drawing/2014/main" id="{DBA3DF75-942C-4682-A0D6-ADB079FCB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4774" y="2381250"/>
          <a:ext cx="1362076" cy="981075"/>
        </a:xfrm>
        <a:prstGeom prst="rect">
          <a:avLst/>
        </a:prstGeom>
      </xdr:spPr>
    </xdr:pic>
    <xdr:clientData/>
  </xdr:twoCellAnchor>
  <xdr:twoCellAnchor editAs="oneCell">
    <xdr:from>
      <xdr:col>2</xdr:col>
      <xdr:colOff>3276600</xdr:colOff>
      <xdr:row>12</xdr:row>
      <xdr:rowOff>95250</xdr:rowOff>
    </xdr:from>
    <xdr:to>
      <xdr:col>5</xdr:col>
      <xdr:colOff>139700</xdr:colOff>
      <xdr:row>16</xdr:row>
      <xdr:rowOff>67129</xdr:rowOff>
    </xdr:to>
    <xdr:pic>
      <xdr:nvPicPr>
        <xdr:cNvPr id="20" name="Imagine 19">
          <a:extLst>
            <a:ext uri="{FF2B5EF4-FFF2-40B4-BE49-F238E27FC236}">
              <a16:creationId xmlns:a16="http://schemas.microsoft.com/office/drawing/2014/main" id="{B0DB8E3E-B2CB-4A3E-94E0-B746ADAD1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343400" y="2990850"/>
          <a:ext cx="1552575" cy="1330779"/>
        </a:xfrm>
        <a:prstGeom prst="rect">
          <a:avLst/>
        </a:prstGeom>
      </xdr:spPr>
    </xdr:pic>
    <xdr:clientData/>
  </xdr:twoCellAnchor>
  <xdr:twoCellAnchor editAs="oneCell">
    <xdr:from>
      <xdr:col>2</xdr:col>
      <xdr:colOff>2028826</xdr:colOff>
      <xdr:row>12</xdr:row>
      <xdr:rowOff>190500</xdr:rowOff>
    </xdr:from>
    <xdr:to>
      <xdr:col>2</xdr:col>
      <xdr:colOff>3257550</xdr:colOff>
      <xdr:row>16</xdr:row>
      <xdr:rowOff>152400</xdr:rowOff>
    </xdr:to>
    <xdr:pic>
      <xdr:nvPicPr>
        <xdr:cNvPr id="21" name="Imagine 20">
          <a:extLst>
            <a:ext uri="{FF2B5EF4-FFF2-40B4-BE49-F238E27FC236}">
              <a16:creationId xmlns:a16="http://schemas.microsoft.com/office/drawing/2014/main" id="{F412010D-9149-41C4-901E-9518789A4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095626" y="3086100"/>
          <a:ext cx="1228724" cy="1323975"/>
        </a:xfrm>
        <a:prstGeom prst="rect">
          <a:avLst/>
        </a:prstGeom>
      </xdr:spPr>
    </xdr:pic>
    <xdr:clientData/>
  </xdr:twoCellAnchor>
  <xdr:twoCellAnchor editAs="oneCell">
    <xdr:from>
      <xdr:col>2</xdr:col>
      <xdr:colOff>1543050</xdr:colOff>
      <xdr:row>11</xdr:row>
      <xdr:rowOff>123826</xdr:rowOff>
    </xdr:from>
    <xdr:to>
      <xdr:col>2</xdr:col>
      <xdr:colOff>2216150</xdr:colOff>
      <xdr:row>12</xdr:row>
      <xdr:rowOff>218403</xdr:rowOff>
    </xdr:to>
    <xdr:pic>
      <xdr:nvPicPr>
        <xdr:cNvPr id="22" name="Imagine 21">
          <a:extLst>
            <a:ext uri="{FF2B5EF4-FFF2-40B4-BE49-F238E27FC236}">
              <a16:creationId xmlns:a16="http://schemas.microsoft.com/office/drawing/2014/main" id="{C782AB47-4222-486B-93B1-44663BF80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609850" y="2667001"/>
          <a:ext cx="676275" cy="450177"/>
        </a:xfrm>
        <a:prstGeom prst="rect">
          <a:avLst/>
        </a:prstGeom>
      </xdr:spPr>
    </xdr:pic>
    <xdr:clientData/>
  </xdr:twoCellAnchor>
  <xdr:twoCellAnchor editAs="oneCell">
    <xdr:from>
      <xdr:col>2</xdr:col>
      <xdr:colOff>2828925</xdr:colOff>
      <xdr:row>11</xdr:row>
      <xdr:rowOff>76200</xdr:rowOff>
    </xdr:from>
    <xdr:to>
      <xdr:col>2</xdr:col>
      <xdr:colOff>3513270</xdr:colOff>
      <xdr:row>12</xdr:row>
      <xdr:rowOff>196850</xdr:rowOff>
    </xdr:to>
    <xdr:pic>
      <xdr:nvPicPr>
        <xdr:cNvPr id="9" name="Imagine 8">
          <a:extLst>
            <a:ext uri="{FF2B5EF4-FFF2-40B4-BE49-F238E27FC236}">
              <a16:creationId xmlns:a16="http://schemas.microsoft.com/office/drawing/2014/main" id="{F6A13349-9AA6-4AC5-9CE9-08743E4AE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895725" y="2619375"/>
          <a:ext cx="681170" cy="476250"/>
        </a:xfrm>
        <a:prstGeom prst="rect">
          <a:avLst/>
        </a:prstGeom>
      </xdr:spPr>
    </xdr:pic>
    <xdr:clientData/>
  </xdr:twoCellAnchor>
  <xdr:twoCellAnchor editAs="oneCell">
    <xdr:from>
      <xdr:col>2</xdr:col>
      <xdr:colOff>3457575</xdr:colOff>
      <xdr:row>82</xdr:row>
      <xdr:rowOff>9526</xdr:rowOff>
    </xdr:from>
    <xdr:to>
      <xdr:col>6</xdr:col>
      <xdr:colOff>685800</xdr:colOff>
      <xdr:row>85</xdr:row>
      <xdr:rowOff>74205</xdr:rowOff>
    </xdr:to>
    <xdr:pic>
      <xdr:nvPicPr>
        <xdr:cNvPr id="12" name="Imagine 11">
          <a:extLst>
            <a:ext uri="{FF2B5EF4-FFF2-40B4-BE49-F238E27FC236}">
              <a16:creationId xmlns:a16="http://schemas.microsoft.com/office/drawing/2014/main" id="{F4E3C045-34D4-43F2-8F79-2FE419ED2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524375" y="25641301"/>
          <a:ext cx="2676525" cy="740954"/>
        </a:xfrm>
        <a:prstGeom prst="rect">
          <a:avLst/>
        </a:prstGeom>
      </xdr:spPr>
    </xdr:pic>
    <xdr:clientData/>
  </xdr:twoCellAnchor>
  <xdr:twoCellAnchor editAs="oneCell">
    <xdr:from>
      <xdr:col>2</xdr:col>
      <xdr:colOff>3829050</xdr:colOff>
      <xdr:row>103</xdr:row>
      <xdr:rowOff>63500</xdr:rowOff>
    </xdr:from>
    <xdr:to>
      <xdr:col>6</xdr:col>
      <xdr:colOff>749300</xdr:colOff>
      <xdr:row>106</xdr:row>
      <xdr:rowOff>162936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E432277-1E49-488A-B19B-06C438EC7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914900" y="31267400"/>
          <a:ext cx="2638425" cy="76301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57152</xdr:colOff>
      <xdr:row>2</xdr:row>
      <xdr:rowOff>47625</xdr:rowOff>
    </xdr:from>
    <xdr:to>
      <xdr:col>5</xdr:col>
      <xdr:colOff>752475</xdr:colOff>
      <xdr:row>2</xdr:row>
      <xdr:rowOff>459512</xdr:rowOff>
    </xdr:to>
    <xdr:pic>
      <xdr:nvPicPr>
        <xdr:cNvPr id="3" name="Picture 21">
          <a:extLst>
            <a:ext uri="{FF2B5EF4-FFF2-40B4-BE49-F238E27FC236}">
              <a16:creationId xmlns:a16="http://schemas.microsoft.com/office/drawing/2014/main" id="{06858274-55F5-4BFA-9AB5-4402DFC8D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19477" y="571500"/>
          <a:ext cx="695323" cy="411887"/>
        </a:xfrm>
        <a:prstGeom prst="rect">
          <a:avLst/>
        </a:prstGeom>
      </xdr:spPr>
    </xdr:pic>
    <xdr:clientData/>
  </xdr:twoCellAnchor>
  <xdr:oneCellAnchor>
    <xdr:from>
      <xdr:col>16</xdr:col>
      <xdr:colOff>28577</xdr:colOff>
      <xdr:row>2</xdr:row>
      <xdr:rowOff>47625</xdr:rowOff>
    </xdr:from>
    <xdr:ext cx="742948" cy="411887"/>
    <xdr:pic>
      <xdr:nvPicPr>
        <xdr:cNvPr id="5" name="Picture 21">
          <a:extLst>
            <a:ext uri="{FF2B5EF4-FFF2-40B4-BE49-F238E27FC236}">
              <a16:creationId xmlns:a16="http://schemas.microsoft.com/office/drawing/2014/main" id="{D519A442-7500-4660-810D-C27E95B65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25127" y="466725"/>
          <a:ext cx="742948" cy="411887"/>
        </a:xfrm>
        <a:prstGeom prst="rect">
          <a:avLst/>
        </a:prstGeom>
      </xdr:spPr>
    </xdr:pic>
    <xdr:clientData/>
  </xdr:oneCellAnchor>
  <xdr:twoCellAnchor editAs="oneCell">
    <xdr:from>
      <xdr:col>0</xdr:col>
      <xdr:colOff>47626</xdr:colOff>
      <xdr:row>2</xdr:row>
      <xdr:rowOff>28576</xdr:rowOff>
    </xdr:from>
    <xdr:to>
      <xdr:col>0</xdr:col>
      <xdr:colOff>743228</xdr:colOff>
      <xdr:row>2</xdr:row>
      <xdr:rowOff>447675</xdr:rowOff>
    </xdr:to>
    <xdr:pic>
      <xdr:nvPicPr>
        <xdr:cNvPr id="8" name="Picture 18">
          <a:extLst>
            <a:ext uri="{FF2B5EF4-FFF2-40B4-BE49-F238E27FC236}">
              <a16:creationId xmlns:a16="http://schemas.microsoft.com/office/drawing/2014/main" id="{3332229C-961C-4DF3-901F-D15CE3023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6" y="552451"/>
          <a:ext cx="695602" cy="419099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19051</xdr:colOff>
      <xdr:row>2</xdr:row>
      <xdr:rowOff>38101</xdr:rowOff>
    </xdr:from>
    <xdr:to>
      <xdr:col>11</xdr:col>
      <xdr:colOff>742951</xdr:colOff>
      <xdr:row>2</xdr:row>
      <xdr:rowOff>463973</xdr:rowOff>
    </xdr:to>
    <xdr:pic>
      <xdr:nvPicPr>
        <xdr:cNvPr id="9" name="Picture 18">
          <a:extLst>
            <a:ext uri="{FF2B5EF4-FFF2-40B4-BE49-F238E27FC236}">
              <a16:creationId xmlns:a16="http://schemas.microsoft.com/office/drawing/2014/main" id="{EB918FEE-FAA4-4991-A89D-0176076EB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05676" y="457201"/>
          <a:ext cx="723900" cy="432222"/>
        </a:xfrm>
        <a:prstGeom prst="rect">
          <a:avLst/>
        </a:prstGeom>
      </xdr:spPr>
    </xdr:pic>
    <xdr:clientData/>
  </xdr:twoCellAnchor>
  <xdr:oneCellAnchor>
    <xdr:from>
      <xdr:col>27</xdr:col>
      <xdr:colOff>28577</xdr:colOff>
      <xdr:row>2</xdr:row>
      <xdr:rowOff>47625</xdr:rowOff>
    </xdr:from>
    <xdr:ext cx="742948" cy="411887"/>
    <xdr:pic>
      <xdr:nvPicPr>
        <xdr:cNvPr id="2" name="Picture 21">
          <a:extLst>
            <a:ext uri="{FF2B5EF4-FFF2-40B4-BE49-F238E27FC236}">
              <a16:creationId xmlns:a16="http://schemas.microsoft.com/office/drawing/2014/main" id="{042C8A37-28BA-4705-A6F0-20FC9BE3D4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25177" y="571500"/>
          <a:ext cx="742948" cy="411887"/>
        </a:xfrm>
        <a:prstGeom prst="rect">
          <a:avLst/>
        </a:prstGeom>
      </xdr:spPr>
    </xdr:pic>
    <xdr:clientData/>
  </xdr:oneCellAnchor>
  <xdr:oneCellAnchor>
    <xdr:from>
      <xdr:col>22</xdr:col>
      <xdr:colOff>19051</xdr:colOff>
      <xdr:row>2</xdr:row>
      <xdr:rowOff>38101</xdr:rowOff>
    </xdr:from>
    <xdr:ext cx="723900" cy="432222"/>
    <xdr:pic>
      <xdr:nvPicPr>
        <xdr:cNvPr id="4" name="Picture 18">
          <a:extLst>
            <a:ext uri="{FF2B5EF4-FFF2-40B4-BE49-F238E27FC236}">
              <a16:creationId xmlns:a16="http://schemas.microsoft.com/office/drawing/2014/main" id="{1B6FD0A7-F35F-454B-ABC1-E9621427D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05701" y="561976"/>
          <a:ext cx="723900" cy="432222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714374</xdr:colOff>
      <xdr:row>13</xdr:row>
      <xdr:rowOff>123825</xdr:rowOff>
    </xdr:from>
    <xdr:to>
      <xdr:col>2</xdr:col>
      <xdr:colOff>2095499</xdr:colOff>
      <xdr:row>17</xdr:row>
      <xdr:rowOff>49749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6160F1-DE53-4104-AFBB-CC0E41E1A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3549" y="3133725"/>
          <a:ext cx="1381125" cy="1202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9524</xdr:colOff>
      <xdr:row>11</xdr:row>
      <xdr:rowOff>180973</xdr:rowOff>
    </xdr:from>
    <xdr:to>
      <xdr:col>6</xdr:col>
      <xdr:colOff>763168</xdr:colOff>
      <xdr:row>15</xdr:row>
      <xdr:rowOff>400049</xdr:rowOff>
    </xdr:to>
    <xdr:pic>
      <xdr:nvPicPr>
        <xdr:cNvPr id="4" name="Imagine 8">
          <a:extLst>
            <a:ext uri="{FF2B5EF4-FFF2-40B4-BE49-F238E27FC236}">
              <a16:creationId xmlns:a16="http://schemas.microsoft.com/office/drawing/2014/main" id="{956C0B37-3D72-4041-BEF2-C3D32A44B3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699" y="2447923"/>
          <a:ext cx="1483894" cy="1524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1409700</xdr:colOff>
      <xdr:row>11</xdr:row>
      <xdr:rowOff>123824</xdr:rowOff>
    </xdr:from>
    <xdr:to>
      <xdr:col>2</xdr:col>
      <xdr:colOff>2114550</xdr:colOff>
      <xdr:row>12</xdr:row>
      <xdr:rowOff>237923</xdr:rowOff>
    </xdr:to>
    <xdr:pic>
      <xdr:nvPicPr>
        <xdr:cNvPr id="5" name="Imagine 9">
          <a:extLst>
            <a:ext uri="{FF2B5EF4-FFF2-40B4-BE49-F238E27FC236}">
              <a16:creationId xmlns:a16="http://schemas.microsoft.com/office/drawing/2014/main" id="{AC679584-DBE6-4446-ABAE-9FCF2566C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2238374"/>
          <a:ext cx="704850" cy="472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13</xdr:row>
      <xdr:rowOff>190499</xdr:rowOff>
    </xdr:from>
    <xdr:to>
      <xdr:col>2</xdr:col>
      <xdr:colOff>787572</xdr:colOff>
      <xdr:row>17</xdr:row>
      <xdr:rowOff>85725</xdr:rowOff>
    </xdr:to>
    <xdr:pic>
      <xdr:nvPicPr>
        <xdr:cNvPr id="8" name="Picture 9">
          <a:extLst>
            <a:ext uri="{FF2B5EF4-FFF2-40B4-BE49-F238E27FC236}">
              <a16:creationId xmlns:a16="http://schemas.microsoft.com/office/drawing/2014/main" id="{4032E576-822F-43B9-BD53-E72F51B20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4300" y="3009899"/>
          <a:ext cx="1670222" cy="1171576"/>
        </a:xfrm>
        <a:prstGeom prst="rect">
          <a:avLst/>
        </a:prstGeom>
      </xdr:spPr>
    </xdr:pic>
    <xdr:clientData/>
  </xdr:twoCellAnchor>
  <xdr:twoCellAnchor editAs="oneCell">
    <xdr:from>
      <xdr:col>2</xdr:col>
      <xdr:colOff>717486</xdr:colOff>
      <xdr:row>11</xdr:row>
      <xdr:rowOff>123825</xdr:rowOff>
    </xdr:from>
    <xdr:to>
      <xdr:col>2</xdr:col>
      <xdr:colOff>1398656</xdr:colOff>
      <xdr:row>12</xdr:row>
      <xdr:rowOff>247650</xdr:rowOff>
    </xdr:to>
    <xdr:pic>
      <xdr:nvPicPr>
        <xdr:cNvPr id="12" name="Imagine 11">
          <a:extLst>
            <a:ext uri="{FF2B5EF4-FFF2-40B4-BE49-F238E27FC236}">
              <a16:creationId xmlns:a16="http://schemas.microsoft.com/office/drawing/2014/main" id="{AD7EA5A7-DCB8-453C-8180-30F6C0B80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6661" y="2238375"/>
          <a:ext cx="681170" cy="47625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11</xdr:row>
      <xdr:rowOff>123825</xdr:rowOff>
    </xdr:from>
    <xdr:to>
      <xdr:col>2</xdr:col>
      <xdr:colOff>733475</xdr:colOff>
      <xdr:row>13</xdr:row>
      <xdr:rowOff>38100</xdr:rowOff>
    </xdr:to>
    <xdr:pic>
      <xdr:nvPicPr>
        <xdr:cNvPr id="17" name="Imagine 16">
          <a:extLst>
            <a:ext uri="{FF2B5EF4-FFF2-40B4-BE49-F238E27FC236}">
              <a16:creationId xmlns:a16="http://schemas.microsoft.com/office/drawing/2014/main" id="{721CC13C-8437-45F1-A1FA-54154FCB7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8575" y="2238375"/>
          <a:ext cx="1695500" cy="619125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3238500</xdr:colOff>
      <xdr:row>11</xdr:row>
      <xdr:rowOff>76200</xdr:rowOff>
    </xdr:from>
    <xdr:to>
      <xdr:col>4</xdr:col>
      <xdr:colOff>200025</xdr:colOff>
      <xdr:row>15</xdr:row>
      <xdr:rowOff>102054</xdr:rowOff>
    </xdr:to>
    <xdr:pic>
      <xdr:nvPicPr>
        <xdr:cNvPr id="20" name="Imagine 19">
          <a:extLst>
            <a:ext uri="{FF2B5EF4-FFF2-40B4-BE49-F238E27FC236}">
              <a16:creationId xmlns:a16="http://schemas.microsoft.com/office/drawing/2014/main" id="{BB31F8C1-3BB8-4C55-88D8-3D6521AA1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229100" y="2343150"/>
          <a:ext cx="1552575" cy="1330779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2095501</xdr:colOff>
      <xdr:row>11</xdr:row>
      <xdr:rowOff>266700</xdr:rowOff>
    </xdr:from>
    <xdr:to>
      <xdr:col>2</xdr:col>
      <xdr:colOff>3267075</xdr:colOff>
      <xdr:row>16</xdr:row>
      <xdr:rowOff>29830</xdr:rowOff>
    </xdr:to>
    <xdr:pic>
      <xdr:nvPicPr>
        <xdr:cNvPr id="21" name="Imagine 20">
          <a:extLst>
            <a:ext uri="{FF2B5EF4-FFF2-40B4-BE49-F238E27FC236}">
              <a16:creationId xmlns:a16="http://schemas.microsoft.com/office/drawing/2014/main" id="{6E264501-5725-4A3C-AEA6-710896987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114676" y="2381250"/>
          <a:ext cx="1171574" cy="1471280"/>
        </a:xfrm>
        <a:prstGeom prst="rect">
          <a:avLst/>
        </a:prstGeom>
      </xdr:spPr>
    </xdr:pic>
    <xdr:clientData/>
  </xdr:twoCellAnchor>
  <xdr:twoCellAnchor editAs="oneCell">
    <xdr:from>
      <xdr:col>2</xdr:col>
      <xdr:colOff>3771900</xdr:colOff>
      <xdr:row>15</xdr:row>
      <xdr:rowOff>161926</xdr:rowOff>
    </xdr:from>
    <xdr:to>
      <xdr:col>3</xdr:col>
      <xdr:colOff>247650</xdr:colOff>
      <xdr:row>16</xdr:row>
      <xdr:rowOff>202528</xdr:rowOff>
    </xdr:to>
    <xdr:pic>
      <xdr:nvPicPr>
        <xdr:cNvPr id="22" name="Imagine 21">
          <a:extLst>
            <a:ext uri="{FF2B5EF4-FFF2-40B4-BE49-F238E27FC236}">
              <a16:creationId xmlns:a16="http://schemas.microsoft.com/office/drawing/2014/main" id="{F976D109-8C0A-4A7B-B3C3-95B63C383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791075" y="3581401"/>
          <a:ext cx="676275" cy="450177"/>
        </a:xfrm>
        <a:prstGeom prst="rect">
          <a:avLst/>
        </a:prstGeom>
      </xdr:spPr>
    </xdr:pic>
    <xdr:clientData/>
  </xdr:twoCellAnchor>
  <xdr:twoCellAnchor editAs="oneCell">
    <xdr:from>
      <xdr:col>2</xdr:col>
      <xdr:colOff>3638551</xdr:colOff>
      <xdr:row>69</xdr:row>
      <xdr:rowOff>19049</xdr:rowOff>
    </xdr:from>
    <xdr:to>
      <xdr:col>6</xdr:col>
      <xdr:colOff>663575</xdr:colOff>
      <xdr:row>72</xdr:row>
      <xdr:rowOff>76199</xdr:rowOff>
    </xdr:to>
    <xdr:pic>
      <xdr:nvPicPr>
        <xdr:cNvPr id="11" name="Imagine 10">
          <a:extLst>
            <a:ext uri="{FF2B5EF4-FFF2-40B4-BE49-F238E27FC236}">
              <a16:creationId xmlns:a16="http://schemas.microsoft.com/office/drawing/2014/main" id="{B209EBB8-F2AC-41DA-9D15-8CDC81C10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629151" y="22831424"/>
          <a:ext cx="2743199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4029075</xdr:colOff>
      <xdr:row>90</xdr:row>
      <xdr:rowOff>38100</xdr:rowOff>
    </xdr:from>
    <xdr:to>
      <xdr:col>6</xdr:col>
      <xdr:colOff>676275</xdr:colOff>
      <xdr:row>93</xdr:row>
      <xdr:rowOff>131186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219C6EB-0982-4DA1-A168-9C6F24BB5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057775" y="27870150"/>
          <a:ext cx="2635250" cy="75983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800099</xdr:colOff>
      <xdr:row>13</xdr:row>
      <xdr:rowOff>66675</xdr:rowOff>
    </xdr:from>
    <xdr:to>
      <xdr:col>2</xdr:col>
      <xdr:colOff>2184399</xdr:colOff>
      <xdr:row>16</xdr:row>
      <xdr:rowOff>256124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48EAAC-A5FB-443E-8FF6-2750F3A4F1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699" y="3038475"/>
          <a:ext cx="1381125" cy="1202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9524</xdr:colOff>
      <xdr:row>11</xdr:row>
      <xdr:rowOff>180973</xdr:rowOff>
    </xdr:from>
    <xdr:to>
      <xdr:col>6</xdr:col>
      <xdr:colOff>734593</xdr:colOff>
      <xdr:row>15</xdr:row>
      <xdr:rowOff>400049</xdr:rowOff>
    </xdr:to>
    <xdr:pic>
      <xdr:nvPicPr>
        <xdr:cNvPr id="3" name="Imagine 8">
          <a:extLst>
            <a:ext uri="{FF2B5EF4-FFF2-40B4-BE49-F238E27FC236}">
              <a16:creationId xmlns:a16="http://schemas.microsoft.com/office/drawing/2014/main" id="{255E6EBB-54B4-43ED-A8CB-517BE37EA7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699" y="2447923"/>
          <a:ext cx="1483894" cy="1524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1323975</xdr:colOff>
      <xdr:row>11</xdr:row>
      <xdr:rowOff>123824</xdr:rowOff>
    </xdr:from>
    <xdr:to>
      <xdr:col>2</xdr:col>
      <xdr:colOff>2025650</xdr:colOff>
      <xdr:row>12</xdr:row>
      <xdr:rowOff>241098</xdr:rowOff>
    </xdr:to>
    <xdr:pic>
      <xdr:nvPicPr>
        <xdr:cNvPr id="4" name="Imagine 9">
          <a:extLst>
            <a:ext uri="{FF2B5EF4-FFF2-40B4-BE49-F238E27FC236}">
              <a16:creationId xmlns:a16="http://schemas.microsoft.com/office/drawing/2014/main" id="{708FC3A2-1348-4D45-BBC9-90ED7057C8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4575" y="2390774"/>
          <a:ext cx="704850" cy="472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11</xdr:row>
      <xdr:rowOff>95249</xdr:rowOff>
    </xdr:from>
    <xdr:to>
      <xdr:col>2</xdr:col>
      <xdr:colOff>285750</xdr:colOff>
      <xdr:row>13</xdr:row>
      <xdr:rowOff>111980</xdr:rowOff>
    </xdr:to>
    <xdr:pic>
      <xdr:nvPicPr>
        <xdr:cNvPr id="5" name="Picture 9">
          <a:extLst>
            <a:ext uri="{FF2B5EF4-FFF2-40B4-BE49-F238E27FC236}">
              <a16:creationId xmlns:a16="http://schemas.microsoft.com/office/drawing/2014/main" id="{A215EF82-E19A-4DDD-A483-834C0EA9C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47650" y="2362199"/>
          <a:ext cx="1028700" cy="721581"/>
        </a:xfrm>
        <a:prstGeom prst="rect">
          <a:avLst/>
        </a:prstGeom>
      </xdr:spPr>
    </xdr:pic>
    <xdr:clientData/>
  </xdr:twoCellAnchor>
  <xdr:twoCellAnchor editAs="oneCell">
    <xdr:from>
      <xdr:col>2</xdr:col>
      <xdr:colOff>507936</xdr:colOff>
      <xdr:row>11</xdr:row>
      <xdr:rowOff>123825</xdr:rowOff>
    </xdr:from>
    <xdr:to>
      <xdr:col>2</xdr:col>
      <xdr:colOff>1192281</xdr:colOff>
      <xdr:row>12</xdr:row>
      <xdr:rowOff>247650</xdr:rowOff>
    </xdr:to>
    <xdr:pic>
      <xdr:nvPicPr>
        <xdr:cNvPr id="6" name="Imagine 5">
          <a:extLst>
            <a:ext uri="{FF2B5EF4-FFF2-40B4-BE49-F238E27FC236}">
              <a16:creationId xmlns:a16="http://schemas.microsoft.com/office/drawing/2014/main" id="{4E00CF7A-9B0A-4F31-A32C-090A1C9B7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98536" y="2390775"/>
          <a:ext cx="681170" cy="476250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3238500</xdr:colOff>
      <xdr:row>11</xdr:row>
      <xdr:rowOff>76200</xdr:rowOff>
    </xdr:from>
    <xdr:to>
      <xdr:col>4</xdr:col>
      <xdr:colOff>215900</xdr:colOff>
      <xdr:row>15</xdr:row>
      <xdr:rowOff>105229</xdr:rowOff>
    </xdr:to>
    <xdr:pic>
      <xdr:nvPicPr>
        <xdr:cNvPr id="8" name="Imagine 7">
          <a:extLst>
            <a:ext uri="{FF2B5EF4-FFF2-40B4-BE49-F238E27FC236}">
              <a16:creationId xmlns:a16="http://schemas.microsoft.com/office/drawing/2014/main" id="{F213257A-61CC-4EF1-A39B-04DAE4236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229100" y="2343150"/>
          <a:ext cx="1552575" cy="1330779"/>
        </a:xfrm>
        <a:prstGeom prst="rect">
          <a:avLst/>
        </a:prstGeom>
      </xdr:spPr>
    </xdr:pic>
    <xdr:clientData/>
  </xdr:twoCellAnchor>
  <xdr:twoCellAnchor editAs="oneCell">
    <xdr:from>
      <xdr:col>2</xdr:col>
      <xdr:colOff>2057401</xdr:colOff>
      <xdr:row>11</xdr:row>
      <xdr:rowOff>247650</xdr:rowOff>
    </xdr:from>
    <xdr:to>
      <xdr:col>2</xdr:col>
      <xdr:colOff>3225800</xdr:colOff>
      <xdr:row>16</xdr:row>
      <xdr:rowOff>7605</xdr:rowOff>
    </xdr:to>
    <xdr:pic>
      <xdr:nvPicPr>
        <xdr:cNvPr id="9" name="Imagine 8">
          <a:extLst>
            <a:ext uri="{FF2B5EF4-FFF2-40B4-BE49-F238E27FC236}">
              <a16:creationId xmlns:a16="http://schemas.microsoft.com/office/drawing/2014/main" id="{18409DA1-31FB-4012-A700-978948351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048001" y="2514600"/>
          <a:ext cx="1171574" cy="1471280"/>
        </a:xfrm>
        <a:prstGeom prst="rect">
          <a:avLst/>
        </a:prstGeom>
      </xdr:spPr>
    </xdr:pic>
    <xdr:clientData/>
  </xdr:twoCellAnchor>
  <xdr:twoCellAnchor editAs="oneCell">
    <xdr:from>
      <xdr:col>2</xdr:col>
      <xdr:colOff>3771900</xdr:colOff>
      <xdr:row>15</xdr:row>
      <xdr:rowOff>161926</xdr:rowOff>
    </xdr:from>
    <xdr:to>
      <xdr:col>3</xdr:col>
      <xdr:colOff>215900</xdr:colOff>
      <xdr:row>16</xdr:row>
      <xdr:rowOff>199353</xdr:rowOff>
    </xdr:to>
    <xdr:pic>
      <xdr:nvPicPr>
        <xdr:cNvPr id="10" name="Imagine 9">
          <a:extLst>
            <a:ext uri="{FF2B5EF4-FFF2-40B4-BE49-F238E27FC236}">
              <a16:creationId xmlns:a16="http://schemas.microsoft.com/office/drawing/2014/main" id="{81DE25AE-B6F5-4E38-B78B-0EB9C4EB2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762500" y="3733801"/>
          <a:ext cx="676275" cy="45017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13</xdr:row>
      <xdr:rowOff>171450</xdr:rowOff>
    </xdr:from>
    <xdr:to>
      <xdr:col>2</xdr:col>
      <xdr:colOff>922647</xdr:colOff>
      <xdr:row>16</xdr:row>
      <xdr:rowOff>254000</xdr:rowOff>
    </xdr:to>
    <xdr:pic>
      <xdr:nvPicPr>
        <xdr:cNvPr id="14" name="Imagine 13">
          <a:extLst>
            <a:ext uri="{FF2B5EF4-FFF2-40B4-BE49-F238E27FC236}">
              <a16:creationId xmlns:a16="http://schemas.microsoft.com/office/drawing/2014/main" id="{0A0083FE-60DD-DA5C-4407-0D70D858F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8100" y="3143250"/>
          <a:ext cx="1871972" cy="1095375"/>
        </a:xfrm>
        <a:prstGeom prst="rect">
          <a:avLst/>
        </a:prstGeom>
      </xdr:spPr>
    </xdr:pic>
    <xdr:clientData/>
  </xdr:twoCellAnchor>
  <xdr:twoCellAnchor editAs="oneCell">
    <xdr:from>
      <xdr:col>2</xdr:col>
      <xdr:colOff>3686176</xdr:colOff>
      <xdr:row>60</xdr:row>
      <xdr:rowOff>200025</xdr:rowOff>
    </xdr:from>
    <xdr:to>
      <xdr:col>6</xdr:col>
      <xdr:colOff>615950</xdr:colOff>
      <xdr:row>64</xdr:row>
      <xdr:rowOff>114301</xdr:rowOff>
    </xdr:to>
    <xdr:pic>
      <xdr:nvPicPr>
        <xdr:cNvPr id="15" name="Imagine 14">
          <a:extLst>
            <a:ext uri="{FF2B5EF4-FFF2-40B4-BE49-F238E27FC236}">
              <a16:creationId xmlns:a16="http://schemas.microsoft.com/office/drawing/2014/main" id="{3933810A-BB80-4FF8-BB6F-707750DC7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676776" y="29660850"/>
          <a:ext cx="2676524" cy="809626"/>
        </a:xfrm>
        <a:prstGeom prst="rect">
          <a:avLst/>
        </a:prstGeom>
      </xdr:spPr>
    </xdr:pic>
    <xdr:clientData/>
  </xdr:twoCellAnchor>
  <xdr:twoCellAnchor editAs="oneCell">
    <xdr:from>
      <xdr:col>2</xdr:col>
      <xdr:colOff>3990975</xdr:colOff>
      <xdr:row>83</xdr:row>
      <xdr:rowOff>6350</xdr:rowOff>
    </xdr:from>
    <xdr:to>
      <xdr:col>6</xdr:col>
      <xdr:colOff>619125</xdr:colOff>
      <xdr:row>86</xdr:row>
      <xdr:rowOff>102611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EECCC63-99A5-4AAE-A839-11535B4BC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019675" y="25647650"/>
          <a:ext cx="2635250" cy="76618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141195</xdr:colOff>
      <xdr:row>2</xdr:row>
      <xdr:rowOff>26897</xdr:rowOff>
    </xdr:from>
    <xdr:to>
      <xdr:col>0</xdr:col>
      <xdr:colOff>857250</xdr:colOff>
      <xdr:row>2</xdr:row>
      <xdr:rowOff>475723</xdr:rowOff>
    </xdr:to>
    <xdr:pic>
      <xdr:nvPicPr>
        <xdr:cNvPr id="7" name="Picture 9">
          <a:extLst>
            <a:ext uri="{FF2B5EF4-FFF2-40B4-BE49-F238E27FC236}">
              <a16:creationId xmlns:a16="http://schemas.microsoft.com/office/drawing/2014/main" id="{6547AD7C-9D1C-458E-B27F-38985C87C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1195" y="588872"/>
          <a:ext cx="716055" cy="448826"/>
        </a:xfrm>
        <a:prstGeom prst="rect">
          <a:avLst/>
        </a:prstGeom>
      </xdr:spPr>
    </xdr:pic>
    <xdr:clientData/>
  </xdr:twoCellAnchor>
  <xdr:twoCellAnchor editAs="oneCell">
    <xdr:from>
      <xdr:col>11</xdr:col>
      <xdr:colOff>77882</xdr:colOff>
      <xdr:row>2</xdr:row>
      <xdr:rowOff>20731</xdr:rowOff>
    </xdr:from>
    <xdr:to>
      <xdr:col>11</xdr:col>
      <xdr:colOff>706531</xdr:colOff>
      <xdr:row>2</xdr:row>
      <xdr:rowOff>468046</xdr:rowOff>
    </xdr:to>
    <xdr:pic>
      <xdr:nvPicPr>
        <xdr:cNvPr id="8" name="Picture 9">
          <a:extLst>
            <a:ext uri="{FF2B5EF4-FFF2-40B4-BE49-F238E27FC236}">
              <a16:creationId xmlns:a16="http://schemas.microsoft.com/office/drawing/2014/main" id="{8F0336BD-996F-4493-944A-A24AC6C87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6529" y="446555"/>
          <a:ext cx="628649" cy="440965"/>
        </a:xfrm>
        <a:prstGeom prst="rect">
          <a:avLst/>
        </a:prstGeom>
      </xdr:spPr>
    </xdr:pic>
    <xdr:clientData/>
  </xdr:twoCellAnchor>
  <xdr:oneCellAnchor>
    <xdr:from>
      <xdr:col>22</xdr:col>
      <xdr:colOff>77882</xdr:colOff>
      <xdr:row>2</xdr:row>
      <xdr:rowOff>20731</xdr:rowOff>
    </xdr:from>
    <xdr:ext cx="628649" cy="440965"/>
    <xdr:pic>
      <xdr:nvPicPr>
        <xdr:cNvPr id="10" name="Picture 9">
          <a:extLst>
            <a:ext uri="{FF2B5EF4-FFF2-40B4-BE49-F238E27FC236}">
              <a16:creationId xmlns:a16="http://schemas.microsoft.com/office/drawing/2014/main" id="{E3ACB2BF-2958-48AD-A0E4-67A8E217C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55032" y="582706"/>
          <a:ext cx="628649" cy="440965"/>
        </a:xfrm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790574</xdr:colOff>
      <xdr:row>14</xdr:row>
      <xdr:rowOff>0</xdr:rowOff>
    </xdr:from>
    <xdr:to>
      <xdr:col>2</xdr:col>
      <xdr:colOff>2171699</xdr:colOff>
      <xdr:row>17</xdr:row>
      <xdr:rowOff>192624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B9F125-2216-4A6D-B543-EEC2E80D60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4" y="3057525"/>
          <a:ext cx="1381125" cy="1192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219074</xdr:colOff>
      <xdr:row>12</xdr:row>
      <xdr:rowOff>257173</xdr:rowOff>
    </xdr:from>
    <xdr:to>
      <xdr:col>6</xdr:col>
      <xdr:colOff>940968</xdr:colOff>
      <xdr:row>17</xdr:row>
      <xdr:rowOff>66674</xdr:rowOff>
    </xdr:to>
    <xdr:pic>
      <xdr:nvPicPr>
        <xdr:cNvPr id="4" name="Imagine 8">
          <a:extLst>
            <a:ext uri="{FF2B5EF4-FFF2-40B4-BE49-F238E27FC236}">
              <a16:creationId xmlns:a16="http://schemas.microsoft.com/office/drawing/2014/main" id="{3706C5DA-3075-4E5A-93E1-849A84F00E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4549" y="2562223"/>
          <a:ext cx="1483894" cy="1524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987425</xdr:colOff>
      <xdr:row>12</xdr:row>
      <xdr:rowOff>126999</xdr:rowOff>
    </xdr:from>
    <xdr:to>
      <xdr:col>2</xdr:col>
      <xdr:colOff>1892300</xdr:colOff>
      <xdr:row>13</xdr:row>
      <xdr:rowOff>241098</xdr:rowOff>
    </xdr:to>
    <xdr:pic>
      <xdr:nvPicPr>
        <xdr:cNvPr id="5" name="Imagine 9">
          <a:extLst>
            <a:ext uri="{FF2B5EF4-FFF2-40B4-BE49-F238E27FC236}">
              <a16:creationId xmlns:a16="http://schemas.microsoft.com/office/drawing/2014/main" id="{867A5410-6209-44FD-AA90-CF96EA9EF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1825" y="2479674"/>
          <a:ext cx="908050" cy="4633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219011</xdr:colOff>
      <xdr:row>12</xdr:row>
      <xdr:rowOff>82550</xdr:rowOff>
    </xdr:from>
    <xdr:to>
      <xdr:col>2</xdr:col>
      <xdr:colOff>341381</xdr:colOff>
      <xdr:row>13</xdr:row>
      <xdr:rowOff>209550</xdr:rowOff>
    </xdr:to>
    <xdr:pic>
      <xdr:nvPicPr>
        <xdr:cNvPr id="12" name="Imagine 11">
          <a:extLst>
            <a:ext uri="{FF2B5EF4-FFF2-40B4-BE49-F238E27FC236}">
              <a16:creationId xmlns:a16="http://schemas.microsoft.com/office/drawing/2014/main" id="{67881959-68F7-47C0-83BD-28ED4CB0C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42861" y="2435225"/>
          <a:ext cx="712920" cy="479425"/>
        </a:xfrm>
        <a:prstGeom prst="rect">
          <a:avLst/>
        </a:prstGeom>
      </xdr:spPr>
    </xdr:pic>
    <xdr:clientData/>
  </xdr:twoCellAnchor>
  <xdr:twoCellAnchor editAs="oneCell">
    <xdr:from>
      <xdr:col>12</xdr:col>
      <xdr:colOff>558800</xdr:colOff>
      <xdr:row>14</xdr:row>
      <xdr:rowOff>95250</xdr:rowOff>
    </xdr:from>
    <xdr:to>
      <xdr:col>14</xdr:col>
      <xdr:colOff>590550</xdr:colOff>
      <xdr:row>16</xdr:row>
      <xdr:rowOff>285750</xdr:rowOff>
    </xdr:to>
    <xdr:pic>
      <xdr:nvPicPr>
        <xdr:cNvPr id="13" name="Imagine 12" descr="plyta systemowa kr50 1g">
          <a:extLst>
            <a:ext uri="{FF2B5EF4-FFF2-40B4-BE49-F238E27FC236}">
              <a16:creationId xmlns:a16="http://schemas.microsoft.com/office/drawing/2014/main" id="{1F9E4C4F-581A-4B76-86BF-61B4EE8FFC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45925" y="3152775"/>
          <a:ext cx="1250950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3219450</xdr:colOff>
      <xdr:row>12</xdr:row>
      <xdr:rowOff>95250</xdr:rowOff>
    </xdr:from>
    <xdr:to>
      <xdr:col>4</xdr:col>
      <xdr:colOff>361950</xdr:colOff>
      <xdr:row>16</xdr:row>
      <xdr:rowOff>121104</xdr:rowOff>
    </xdr:to>
    <xdr:pic>
      <xdr:nvPicPr>
        <xdr:cNvPr id="20" name="Imagine 19">
          <a:extLst>
            <a:ext uri="{FF2B5EF4-FFF2-40B4-BE49-F238E27FC236}">
              <a16:creationId xmlns:a16="http://schemas.microsoft.com/office/drawing/2014/main" id="{D84497EA-665A-4CAD-8604-03D3F5F31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238625" y="2400300"/>
          <a:ext cx="1552575" cy="1330779"/>
        </a:xfrm>
        <a:prstGeom prst="rect">
          <a:avLst/>
        </a:prstGeom>
      </xdr:spPr>
    </xdr:pic>
    <xdr:clientData/>
  </xdr:twoCellAnchor>
  <xdr:twoCellAnchor editAs="oneCell">
    <xdr:from>
      <xdr:col>2</xdr:col>
      <xdr:colOff>2076451</xdr:colOff>
      <xdr:row>13</xdr:row>
      <xdr:rowOff>47625</xdr:rowOff>
    </xdr:from>
    <xdr:to>
      <xdr:col>2</xdr:col>
      <xdr:colOff>3305175</xdr:colOff>
      <xdr:row>17</xdr:row>
      <xdr:rowOff>133350</xdr:rowOff>
    </xdr:to>
    <xdr:pic>
      <xdr:nvPicPr>
        <xdr:cNvPr id="21" name="Imagine 20">
          <a:extLst>
            <a:ext uri="{FF2B5EF4-FFF2-40B4-BE49-F238E27FC236}">
              <a16:creationId xmlns:a16="http://schemas.microsoft.com/office/drawing/2014/main" id="{3C070E16-7808-427F-995E-D8E20639A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095626" y="2705100"/>
          <a:ext cx="1228724" cy="1447800"/>
        </a:xfrm>
        <a:prstGeom prst="rect">
          <a:avLst/>
        </a:prstGeom>
      </xdr:spPr>
    </xdr:pic>
    <xdr:clientData/>
  </xdr:twoCellAnchor>
  <xdr:twoCellAnchor editAs="oneCell">
    <xdr:from>
      <xdr:col>2</xdr:col>
      <xdr:colOff>3787775</xdr:colOff>
      <xdr:row>16</xdr:row>
      <xdr:rowOff>168276</xdr:rowOff>
    </xdr:from>
    <xdr:to>
      <xdr:col>3</xdr:col>
      <xdr:colOff>292100</xdr:colOff>
      <xdr:row>17</xdr:row>
      <xdr:rowOff>212053</xdr:rowOff>
    </xdr:to>
    <xdr:pic>
      <xdr:nvPicPr>
        <xdr:cNvPr id="22" name="Imagine 21">
          <a:extLst>
            <a:ext uri="{FF2B5EF4-FFF2-40B4-BE49-F238E27FC236}">
              <a16:creationId xmlns:a16="http://schemas.microsoft.com/office/drawing/2014/main" id="{DF982F7A-1E3F-4681-85FE-7CC1C21CD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702175" y="3816351"/>
          <a:ext cx="727075" cy="453352"/>
        </a:xfrm>
        <a:prstGeom prst="rect">
          <a:avLst/>
        </a:prstGeom>
      </xdr:spPr>
    </xdr:pic>
    <xdr:clientData/>
  </xdr:twoCellAnchor>
  <xdr:twoCellAnchor editAs="oneCell">
    <xdr:from>
      <xdr:col>10</xdr:col>
      <xdr:colOff>590550</xdr:colOff>
      <xdr:row>21</xdr:row>
      <xdr:rowOff>19050</xdr:rowOff>
    </xdr:from>
    <xdr:to>
      <xdr:col>13</xdr:col>
      <xdr:colOff>335760</xdr:colOff>
      <xdr:row>24</xdr:row>
      <xdr:rowOff>171449</xdr:rowOff>
    </xdr:to>
    <xdr:pic>
      <xdr:nvPicPr>
        <xdr:cNvPr id="23" name="Imagine 22">
          <a:extLst>
            <a:ext uri="{FF2B5EF4-FFF2-40B4-BE49-F238E27FC236}">
              <a16:creationId xmlns:a16="http://schemas.microsoft.com/office/drawing/2014/main" id="{0F04D259-B0AA-4126-AE09-DA7E50ADE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658475" y="5191125"/>
          <a:ext cx="1570835" cy="1019174"/>
        </a:xfrm>
        <a:prstGeom prst="rect">
          <a:avLst/>
        </a:prstGeom>
      </xdr:spPr>
    </xdr:pic>
    <xdr:clientData/>
  </xdr:twoCellAnchor>
  <xdr:twoCellAnchor editAs="oneCell">
    <xdr:from>
      <xdr:col>2</xdr:col>
      <xdr:colOff>3638551</xdr:colOff>
      <xdr:row>64</xdr:row>
      <xdr:rowOff>19049</xdr:rowOff>
    </xdr:from>
    <xdr:to>
      <xdr:col>6</xdr:col>
      <xdr:colOff>790575</xdr:colOff>
      <xdr:row>67</xdr:row>
      <xdr:rowOff>85724</xdr:rowOff>
    </xdr:to>
    <xdr:pic>
      <xdr:nvPicPr>
        <xdr:cNvPr id="7" name="Imagine 6">
          <a:extLst>
            <a:ext uri="{FF2B5EF4-FFF2-40B4-BE49-F238E27FC236}">
              <a16:creationId xmlns:a16="http://schemas.microsoft.com/office/drawing/2014/main" id="{9DB01A44-0766-4A01-9CD3-5000DFADE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629151" y="22593299"/>
          <a:ext cx="2743199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13</xdr:row>
      <xdr:rowOff>247650</xdr:rowOff>
    </xdr:from>
    <xdr:to>
      <xdr:col>2</xdr:col>
      <xdr:colOff>778735</xdr:colOff>
      <xdr:row>17</xdr:row>
      <xdr:rowOff>254000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EF11FD3-D199-460F-B692-78247F10F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61925" y="2952750"/>
          <a:ext cx="1531210" cy="1362075"/>
        </a:xfrm>
        <a:prstGeom prst="rect">
          <a:avLst/>
        </a:prstGeom>
      </xdr:spPr>
    </xdr:pic>
    <xdr:clientData/>
  </xdr:twoCellAnchor>
  <xdr:twoCellAnchor editAs="oneCell">
    <xdr:from>
      <xdr:col>2</xdr:col>
      <xdr:colOff>4086225</xdr:colOff>
      <xdr:row>85</xdr:row>
      <xdr:rowOff>142875</xdr:rowOff>
    </xdr:from>
    <xdr:to>
      <xdr:col>6</xdr:col>
      <xdr:colOff>847725</xdr:colOff>
      <xdr:row>89</xdr:row>
      <xdr:rowOff>35936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BE5971B-7298-4CA2-BCFE-B0B20C2E9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000625" y="26450925"/>
          <a:ext cx="2635250" cy="759836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56029</xdr:colOff>
      <xdr:row>2</xdr:row>
      <xdr:rowOff>44823</xdr:rowOff>
    </xdr:from>
    <xdr:to>
      <xdr:col>0</xdr:col>
      <xdr:colOff>1371600</xdr:colOff>
      <xdr:row>2</xdr:row>
      <xdr:rowOff>448234</xdr:rowOff>
    </xdr:to>
    <xdr:pic>
      <xdr:nvPicPr>
        <xdr:cNvPr id="5" name="Imagine 4">
          <a:extLst>
            <a:ext uri="{FF2B5EF4-FFF2-40B4-BE49-F238E27FC236}">
              <a16:creationId xmlns:a16="http://schemas.microsoft.com/office/drawing/2014/main" id="{5297DD04-C8E3-4B66-B12B-AE0B25367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029" y="578223"/>
          <a:ext cx="1315571" cy="403411"/>
        </a:xfrm>
        <a:prstGeom prst="rect">
          <a:avLst/>
        </a:prstGeom>
      </xdr:spPr>
    </xdr:pic>
    <xdr:clientData/>
  </xdr:twoCellAnchor>
  <xdr:twoCellAnchor editAs="oneCell">
    <xdr:from>
      <xdr:col>11</xdr:col>
      <xdr:colOff>47626</xdr:colOff>
      <xdr:row>2</xdr:row>
      <xdr:rowOff>44823</xdr:rowOff>
    </xdr:from>
    <xdr:to>
      <xdr:col>11</xdr:col>
      <xdr:colOff>1162050</xdr:colOff>
      <xdr:row>2</xdr:row>
      <xdr:rowOff>438150</xdr:rowOff>
    </xdr:to>
    <xdr:pic>
      <xdr:nvPicPr>
        <xdr:cNvPr id="7" name="Imagine 6">
          <a:extLst>
            <a:ext uri="{FF2B5EF4-FFF2-40B4-BE49-F238E27FC236}">
              <a16:creationId xmlns:a16="http://schemas.microsoft.com/office/drawing/2014/main" id="{0FEA31B5-437C-448C-A6A5-72BCCE4801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10476" y="578223"/>
          <a:ext cx="1114424" cy="393327"/>
        </a:xfrm>
        <a:prstGeom prst="rect">
          <a:avLst/>
        </a:prstGeom>
      </xdr:spPr>
    </xdr:pic>
    <xdr:clientData/>
  </xdr:twoCellAnchor>
  <xdr:oneCellAnchor>
    <xdr:from>
      <xdr:col>22</xdr:col>
      <xdr:colOff>47626</xdr:colOff>
      <xdr:row>2</xdr:row>
      <xdr:rowOff>44823</xdr:rowOff>
    </xdr:from>
    <xdr:ext cx="761999" cy="393327"/>
    <xdr:pic>
      <xdr:nvPicPr>
        <xdr:cNvPr id="2" name="Imagine 1">
          <a:extLst>
            <a:ext uri="{FF2B5EF4-FFF2-40B4-BE49-F238E27FC236}">
              <a16:creationId xmlns:a16="http://schemas.microsoft.com/office/drawing/2014/main" id="{2C29311F-902C-4C03-9D6E-EFFF4A0DD5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611226" y="578223"/>
          <a:ext cx="761999" cy="393327"/>
        </a:xfrm>
        <a:prstGeom prst="rect">
          <a:avLst/>
        </a:prstGeom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85724</xdr:colOff>
      <xdr:row>11</xdr:row>
      <xdr:rowOff>38099</xdr:rowOff>
    </xdr:from>
    <xdr:to>
      <xdr:col>7</xdr:col>
      <xdr:colOff>12198</xdr:colOff>
      <xdr:row>15</xdr:row>
      <xdr:rowOff>196851</xdr:rowOff>
    </xdr:to>
    <xdr:pic>
      <xdr:nvPicPr>
        <xdr:cNvPr id="3" name="Imagine 8">
          <a:extLst>
            <a:ext uri="{FF2B5EF4-FFF2-40B4-BE49-F238E27FC236}">
              <a16:creationId xmlns:a16="http://schemas.microsoft.com/office/drawing/2014/main" id="{06EB5DB5-D98A-4388-B04C-43108A3824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899" y="2305049"/>
          <a:ext cx="1428249" cy="14668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3952876</xdr:colOff>
      <xdr:row>11</xdr:row>
      <xdr:rowOff>76201</xdr:rowOff>
    </xdr:from>
    <xdr:to>
      <xdr:col>5</xdr:col>
      <xdr:colOff>46037</xdr:colOff>
      <xdr:row>14</xdr:row>
      <xdr:rowOff>101600</xdr:rowOff>
    </xdr:to>
    <xdr:pic>
      <xdr:nvPicPr>
        <xdr:cNvPr id="7" name="Imagine 6">
          <a:extLst>
            <a:ext uri="{FF2B5EF4-FFF2-40B4-BE49-F238E27FC236}">
              <a16:creationId xmlns:a16="http://schemas.microsoft.com/office/drawing/2014/main" id="{03BA09D9-C7E3-4C23-AE06-A1524182E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43476" y="2343151"/>
          <a:ext cx="1077911" cy="923924"/>
        </a:xfrm>
        <a:prstGeom prst="rect">
          <a:avLst/>
        </a:prstGeom>
      </xdr:spPr>
    </xdr:pic>
    <xdr:clientData/>
  </xdr:twoCellAnchor>
  <xdr:twoCellAnchor editAs="oneCell">
    <xdr:from>
      <xdr:col>2</xdr:col>
      <xdr:colOff>3000376</xdr:colOff>
      <xdr:row>11</xdr:row>
      <xdr:rowOff>28575</xdr:rowOff>
    </xdr:from>
    <xdr:to>
      <xdr:col>2</xdr:col>
      <xdr:colOff>3911600</xdr:colOff>
      <xdr:row>14</xdr:row>
      <xdr:rowOff>234950</xdr:rowOff>
    </xdr:to>
    <xdr:pic>
      <xdr:nvPicPr>
        <xdr:cNvPr id="8" name="Imagine 7">
          <a:extLst>
            <a:ext uri="{FF2B5EF4-FFF2-40B4-BE49-F238E27FC236}">
              <a16:creationId xmlns:a16="http://schemas.microsoft.com/office/drawing/2014/main" id="{75311C2A-18BD-4A6E-A7E5-C13BE1EF6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990976" y="2295525"/>
          <a:ext cx="914399" cy="1104900"/>
        </a:xfrm>
        <a:prstGeom prst="rect">
          <a:avLst/>
        </a:prstGeom>
      </xdr:spPr>
    </xdr:pic>
    <xdr:clientData/>
  </xdr:twoCellAnchor>
  <xdr:twoCellAnchor editAs="oneCell">
    <xdr:from>
      <xdr:col>2</xdr:col>
      <xdr:colOff>3076575</xdr:colOff>
      <xdr:row>14</xdr:row>
      <xdr:rowOff>400051</xdr:rowOff>
    </xdr:from>
    <xdr:to>
      <xdr:col>2</xdr:col>
      <xdr:colOff>3752850</xdr:colOff>
      <xdr:row>16</xdr:row>
      <xdr:rowOff>27903</xdr:rowOff>
    </xdr:to>
    <xdr:pic>
      <xdr:nvPicPr>
        <xdr:cNvPr id="9" name="Imagine 8">
          <a:extLst>
            <a:ext uri="{FF2B5EF4-FFF2-40B4-BE49-F238E27FC236}">
              <a16:creationId xmlns:a16="http://schemas.microsoft.com/office/drawing/2014/main" id="{6808FE07-136B-4E82-9B34-C1F5E71F7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067175" y="3562351"/>
          <a:ext cx="676275" cy="450177"/>
        </a:xfrm>
        <a:prstGeom prst="rect">
          <a:avLst/>
        </a:prstGeom>
      </xdr:spPr>
    </xdr:pic>
    <xdr:clientData/>
  </xdr:twoCellAnchor>
  <xdr:twoCellAnchor editAs="oneCell">
    <xdr:from>
      <xdr:col>2</xdr:col>
      <xdr:colOff>3686176</xdr:colOff>
      <xdr:row>61</xdr:row>
      <xdr:rowOff>200025</xdr:rowOff>
    </xdr:from>
    <xdr:to>
      <xdr:col>6</xdr:col>
      <xdr:colOff>615950</xdr:colOff>
      <xdr:row>65</xdr:row>
      <xdr:rowOff>114301</xdr:rowOff>
    </xdr:to>
    <xdr:pic>
      <xdr:nvPicPr>
        <xdr:cNvPr id="12" name="Imagine 11">
          <a:extLst>
            <a:ext uri="{FF2B5EF4-FFF2-40B4-BE49-F238E27FC236}">
              <a16:creationId xmlns:a16="http://schemas.microsoft.com/office/drawing/2014/main" id="{1E70027A-A5D1-4D50-B17C-494B2F7D0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76776" y="19640550"/>
          <a:ext cx="2676524" cy="809626"/>
        </a:xfrm>
        <a:prstGeom prst="rect">
          <a:avLst/>
        </a:prstGeom>
      </xdr:spPr>
    </xdr:pic>
    <xdr:clientData/>
  </xdr:twoCellAnchor>
  <xdr:twoCellAnchor editAs="oneCell">
    <xdr:from>
      <xdr:col>2</xdr:col>
      <xdr:colOff>3924301</xdr:colOff>
      <xdr:row>14</xdr:row>
      <xdr:rowOff>142875</xdr:rowOff>
    </xdr:from>
    <xdr:to>
      <xdr:col>4</xdr:col>
      <xdr:colOff>342900</xdr:colOff>
      <xdr:row>16</xdr:row>
      <xdr:rowOff>247038</xdr:rowOff>
    </xdr:to>
    <xdr:pic>
      <xdr:nvPicPr>
        <xdr:cNvPr id="4" name="Imagine 3">
          <a:extLst>
            <a:ext uri="{FF2B5EF4-FFF2-40B4-BE49-F238E27FC236}">
              <a16:creationId xmlns:a16="http://schemas.microsoft.com/office/drawing/2014/main" id="{AD54AE7C-B462-E689-CAF9-83CF26076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914901" y="3305175"/>
          <a:ext cx="990599" cy="923313"/>
        </a:xfrm>
        <a:prstGeom prst="rect">
          <a:avLst/>
        </a:prstGeom>
      </xdr:spPr>
    </xdr:pic>
    <xdr:clientData/>
  </xdr:twoCellAnchor>
  <xdr:twoCellAnchor editAs="oneCell">
    <xdr:from>
      <xdr:col>2</xdr:col>
      <xdr:colOff>1533525</xdr:colOff>
      <xdr:row>13</xdr:row>
      <xdr:rowOff>76200</xdr:rowOff>
    </xdr:from>
    <xdr:to>
      <xdr:col>2</xdr:col>
      <xdr:colOff>2819401</xdr:colOff>
      <xdr:row>16</xdr:row>
      <xdr:rowOff>87777</xdr:rowOff>
    </xdr:to>
    <xdr:pic>
      <xdr:nvPicPr>
        <xdr:cNvPr id="10" name="Imagine 9">
          <a:extLst>
            <a:ext uri="{FF2B5EF4-FFF2-40B4-BE49-F238E27FC236}">
              <a16:creationId xmlns:a16="http://schemas.microsoft.com/office/drawing/2014/main" id="{0CBCE2E1-6145-3F02-BACB-69B9974ED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24125" y="3048000"/>
          <a:ext cx="1285876" cy="1024402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14</xdr:row>
      <xdr:rowOff>9526</xdr:rowOff>
    </xdr:from>
    <xdr:to>
      <xdr:col>2</xdr:col>
      <xdr:colOff>768350</xdr:colOff>
      <xdr:row>17</xdr:row>
      <xdr:rowOff>9561</xdr:rowOff>
    </xdr:to>
    <xdr:pic>
      <xdr:nvPicPr>
        <xdr:cNvPr id="13" name="Imagine 12">
          <a:extLst>
            <a:ext uri="{FF2B5EF4-FFF2-40B4-BE49-F238E27FC236}">
              <a16:creationId xmlns:a16="http://schemas.microsoft.com/office/drawing/2014/main" id="{DECED914-3F88-DE49-6E72-7F1E878F8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4300" y="3171826"/>
          <a:ext cx="1647825" cy="108906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161926</xdr:colOff>
      <xdr:row>11</xdr:row>
      <xdr:rowOff>123825</xdr:rowOff>
    </xdr:from>
    <xdr:to>
      <xdr:col>2</xdr:col>
      <xdr:colOff>1619250</xdr:colOff>
      <xdr:row>14</xdr:row>
      <xdr:rowOff>235756</xdr:rowOff>
    </xdr:to>
    <xdr:pic>
      <xdr:nvPicPr>
        <xdr:cNvPr id="17" name="Imagine 16">
          <a:extLst>
            <a:ext uri="{FF2B5EF4-FFF2-40B4-BE49-F238E27FC236}">
              <a16:creationId xmlns:a16="http://schemas.microsoft.com/office/drawing/2014/main" id="{46202A13-ACB8-D031-310E-85A3DC0EC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52526" y="2390775"/>
          <a:ext cx="1457324" cy="1010456"/>
        </a:xfrm>
        <a:prstGeom prst="rect">
          <a:avLst/>
        </a:prstGeom>
      </xdr:spPr>
    </xdr:pic>
    <xdr:clientData/>
  </xdr:twoCellAnchor>
  <xdr:twoCellAnchor editAs="oneCell">
    <xdr:from>
      <xdr:col>2</xdr:col>
      <xdr:colOff>3924300</xdr:colOff>
      <xdr:row>84</xdr:row>
      <xdr:rowOff>9525</xdr:rowOff>
    </xdr:from>
    <xdr:to>
      <xdr:col>6</xdr:col>
      <xdr:colOff>549275</xdr:colOff>
      <xdr:row>87</xdr:row>
      <xdr:rowOff>102611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FDC2FD9-D9DB-4BB1-BA6A-E6434E922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953000" y="26117550"/>
          <a:ext cx="2635250" cy="759836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141195</xdr:colOff>
      <xdr:row>2</xdr:row>
      <xdr:rowOff>26897</xdr:rowOff>
    </xdr:from>
    <xdr:to>
      <xdr:col>0</xdr:col>
      <xdr:colOff>857250</xdr:colOff>
      <xdr:row>2</xdr:row>
      <xdr:rowOff>475723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476B0C8F-FFCE-4748-948E-9A2050239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1195" y="588872"/>
          <a:ext cx="716055" cy="448826"/>
        </a:xfrm>
        <a:prstGeom prst="rect">
          <a:avLst/>
        </a:prstGeom>
      </xdr:spPr>
    </xdr:pic>
    <xdr:clientData/>
  </xdr:twoCellAnchor>
  <xdr:twoCellAnchor editAs="oneCell">
    <xdr:from>
      <xdr:col>11</xdr:col>
      <xdr:colOff>77882</xdr:colOff>
      <xdr:row>2</xdr:row>
      <xdr:rowOff>20731</xdr:rowOff>
    </xdr:from>
    <xdr:to>
      <xdr:col>11</xdr:col>
      <xdr:colOff>706531</xdr:colOff>
      <xdr:row>2</xdr:row>
      <xdr:rowOff>468046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DBF9CD6C-AA4E-45CC-8F28-98BF0BB24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97857" y="582706"/>
          <a:ext cx="628649" cy="440965"/>
        </a:xfrm>
        <a:prstGeom prst="rect">
          <a:avLst/>
        </a:prstGeom>
      </xdr:spPr>
    </xdr:pic>
    <xdr:clientData/>
  </xdr:twoCellAnchor>
  <xdr:oneCellAnchor>
    <xdr:from>
      <xdr:col>22</xdr:col>
      <xdr:colOff>77882</xdr:colOff>
      <xdr:row>2</xdr:row>
      <xdr:rowOff>20731</xdr:rowOff>
    </xdr:from>
    <xdr:ext cx="628649" cy="440965"/>
    <xdr:pic>
      <xdr:nvPicPr>
        <xdr:cNvPr id="4" name="Picture 9">
          <a:extLst>
            <a:ext uri="{FF2B5EF4-FFF2-40B4-BE49-F238E27FC236}">
              <a16:creationId xmlns:a16="http://schemas.microsoft.com/office/drawing/2014/main" id="{CBA6E685-614A-45EB-A8D2-7A76791CB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36582" y="582706"/>
          <a:ext cx="628649" cy="440965"/>
        </a:xfrm>
        <a:prstGeom prst="rect">
          <a:avLst/>
        </a:prstGeom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704849</xdr:colOff>
      <xdr:row>12</xdr:row>
      <xdr:rowOff>225425</xdr:rowOff>
    </xdr:from>
    <xdr:to>
      <xdr:col>2</xdr:col>
      <xdr:colOff>2089149</xdr:colOff>
      <xdr:row>16</xdr:row>
      <xdr:rowOff>65624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EE80D0-CBCB-40EB-BE26-314792A5B6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3549" y="2797175"/>
          <a:ext cx="1384300" cy="1192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133349</xdr:colOff>
      <xdr:row>11</xdr:row>
      <xdr:rowOff>266698</xdr:rowOff>
    </xdr:from>
    <xdr:to>
      <xdr:col>7</xdr:col>
      <xdr:colOff>55143</xdr:colOff>
      <xdr:row>16</xdr:row>
      <xdr:rowOff>76199</xdr:rowOff>
    </xdr:to>
    <xdr:pic>
      <xdr:nvPicPr>
        <xdr:cNvPr id="3" name="Imagine 8">
          <a:extLst>
            <a:ext uri="{FF2B5EF4-FFF2-40B4-BE49-F238E27FC236}">
              <a16:creationId xmlns:a16="http://schemas.microsoft.com/office/drawing/2014/main" id="{40DE4B79-9A5C-4B75-9912-12796AA782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2174" y="2571748"/>
          <a:ext cx="1483894" cy="1524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409575</xdr:colOff>
      <xdr:row>20</xdr:row>
      <xdr:rowOff>19049</xdr:rowOff>
    </xdr:from>
    <xdr:to>
      <xdr:col>14</xdr:col>
      <xdr:colOff>504825</xdr:colOff>
      <xdr:row>21</xdr:row>
      <xdr:rowOff>241098</xdr:rowOff>
    </xdr:to>
    <xdr:pic>
      <xdr:nvPicPr>
        <xdr:cNvPr id="4" name="Imagine 9">
          <a:extLst>
            <a:ext uri="{FF2B5EF4-FFF2-40B4-BE49-F238E27FC236}">
              <a16:creationId xmlns:a16="http://schemas.microsoft.com/office/drawing/2014/main" id="{3F43CAE9-BC56-4F3F-96C0-4BD9CF40C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8625" y="5153024"/>
          <a:ext cx="704850" cy="472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247649</xdr:colOff>
      <xdr:row>19</xdr:row>
      <xdr:rowOff>66675</xdr:rowOff>
    </xdr:from>
    <xdr:to>
      <xdr:col>12</xdr:col>
      <xdr:colOff>409575</xdr:colOff>
      <xdr:row>21</xdr:row>
      <xdr:rowOff>293956</xdr:rowOff>
    </xdr:to>
    <xdr:pic>
      <xdr:nvPicPr>
        <xdr:cNvPr id="5" name="Picture 21">
          <a:extLst>
            <a:ext uri="{FF2B5EF4-FFF2-40B4-BE49-F238E27FC236}">
              <a16:creationId xmlns:a16="http://schemas.microsoft.com/office/drawing/2014/main" id="{00A6EE84-8E16-4077-9AF7-C6AAA4EBF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867899" y="4867275"/>
          <a:ext cx="1381126" cy="811481"/>
        </a:xfrm>
        <a:prstGeom prst="rect">
          <a:avLst/>
        </a:prstGeom>
      </xdr:spPr>
    </xdr:pic>
    <xdr:clientData/>
  </xdr:twoCellAnchor>
  <xdr:twoCellAnchor editAs="oneCell">
    <xdr:from>
      <xdr:col>8</xdr:col>
      <xdr:colOff>247649</xdr:colOff>
      <xdr:row>15</xdr:row>
      <xdr:rowOff>9525</xdr:rowOff>
    </xdr:from>
    <xdr:to>
      <xdr:col>9</xdr:col>
      <xdr:colOff>829526</xdr:colOff>
      <xdr:row>18</xdr:row>
      <xdr:rowOff>38100</xdr:rowOff>
    </xdr:to>
    <xdr:pic>
      <xdr:nvPicPr>
        <xdr:cNvPr id="6" name="Picture 18">
          <a:extLst>
            <a:ext uri="{FF2B5EF4-FFF2-40B4-BE49-F238E27FC236}">
              <a16:creationId xmlns:a16="http://schemas.microsoft.com/office/drawing/2014/main" id="{A2A58CD5-B727-4389-9984-17E5AE10C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343899" y="3619500"/>
          <a:ext cx="1166077" cy="981075"/>
        </a:xfrm>
        <a:prstGeom prst="rect">
          <a:avLst/>
        </a:prstGeom>
      </xdr:spPr>
    </xdr:pic>
    <xdr:clientData/>
  </xdr:twoCellAnchor>
  <xdr:twoCellAnchor editAs="oneCell">
    <xdr:from>
      <xdr:col>13</xdr:col>
      <xdr:colOff>133350</xdr:colOff>
      <xdr:row>11</xdr:row>
      <xdr:rowOff>123824</xdr:rowOff>
    </xdr:from>
    <xdr:to>
      <xdr:col>15</xdr:col>
      <xdr:colOff>228600</xdr:colOff>
      <xdr:row>14</xdr:row>
      <xdr:rowOff>217307</xdr:rowOff>
    </xdr:to>
    <xdr:pic>
      <xdr:nvPicPr>
        <xdr:cNvPr id="7" name="Picture 9">
          <a:extLst>
            <a:ext uri="{FF2B5EF4-FFF2-40B4-BE49-F238E27FC236}">
              <a16:creationId xmlns:a16="http://schemas.microsoft.com/office/drawing/2014/main" id="{D2428E59-1BBC-4D59-818B-AE28E69258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582400" y="2428874"/>
          <a:ext cx="1409700" cy="988833"/>
        </a:xfrm>
        <a:prstGeom prst="rect">
          <a:avLst/>
        </a:prstGeom>
      </xdr:spPr>
    </xdr:pic>
    <xdr:clientData/>
  </xdr:twoCellAnchor>
  <xdr:twoCellAnchor editAs="oneCell">
    <xdr:from>
      <xdr:col>10</xdr:col>
      <xdr:colOff>504825</xdr:colOff>
      <xdr:row>15</xdr:row>
      <xdr:rowOff>219075</xdr:rowOff>
    </xdr:from>
    <xdr:to>
      <xdr:col>13</xdr:col>
      <xdr:colOff>28574</xdr:colOff>
      <xdr:row>19</xdr:row>
      <xdr:rowOff>68513</xdr:rowOff>
    </xdr:to>
    <xdr:pic>
      <xdr:nvPicPr>
        <xdr:cNvPr id="8" name="Picture 3">
          <a:extLst>
            <a:ext uri="{FF2B5EF4-FFF2-40B4-BE49-F238E27FC236}">
              <a16:creationId xmlns:a16="http://schemas.microsoft.com/office/drawing/2014/main" id="{43B9628E-79F0-4C18-B794-DF1D87F95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125075" y="3829050"/>
          <a:ext cx="1352549" cy="1033713"/>
        </a:xfrm>
        <a:prstGeom prst="rect">
          <a:avLst/>
        </a:prstGeom>
      </xdr:spPr>
    </xdr:pic>
    <xdr:clientData/>
  </xdr:twoCellAnchor>
  <xdr:twoCellAnchor editAs="oneCell">
    <xdr:from>
      <xdr:col>13</xdr:col>
      <xdr:colOff>142876</xdr:colOff>
      <xdr:row>15</xdr:row>
      <xdr:rowOff>66675</xdr:rowOff>
    </xdr:from>
    <xdr:to>
      <xdr:col>15</xdr:col>
      <xdr:colOff>28576</xdr:colOff>
      <xdr:row>18</xdr:row>
      <xdr:rowOff>142875</xdr:rowOff>
    </xdr:to>
    <xdr:pic>
      <xdr:nvPicPr>
        <xdr:cNvPr id="9" name="Picture 1">
          <a:extLst>
            <a:ext uri="{FF2B5EF4-FFF2-40B4-BE49-F238E27FC236}">
              <a16:creationId xmlns:a16="http://schemas.microsoft.com/office/drawing/2014/main" id="{9C2B1B79-5001-41EA-A426-E2108943C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591926" y="3676650"/>
          <a:ext cx="1200150" cy="1022350"/>
        </a:xfrm>
        <a:prstGeom prst="rect">
          <a:avLst/>
        </a:prstGeom>
      </xdr:spPr>
    </xdr:pic>
    <xdr:clientData/>
  </xdr:twoCellAnchor>
  <xdr:twoCellAnchor editAs="oneCell">
    <xdr:from>
      <xdr:col>10</xdr:col>
      <xdr:colOff>361950</xdr:colOff>
      <xdr:row>10</xdr:row>
      <xdr:rowOff>295275</xdr:rowOff>
    </xdr:from>
    <xdr:to>
      <xdr:col>12</xdr:col>
      <xdr:colOff>498097</xdr:colOff>
      <xdr:row>14</xdr:row>
      <xdr:rowOff>179295</xdr:rowOff>
    </xdr:to>
    <xdr:pic>
      <xdr:nvPicPr>
        <xdr:cNvPr id="10" name="Imagine 9">
          <a:extLst>
            <a:ext uri="{FF2B5EF4-FFF2-40B4-BE49-F238E27FC236}">
              <a16:creationId xmlns:a16="http://schemas.microsoft.com/office/drawing/2014/main" id="{9D8E10D1-44B9-41B2-94B8-83499685F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82200" y="2247900"/>
          <a:ext cx="1355347" cy="1131795"/>
        </a:xfrm>
        <a:prstGeom prst="rect">
          <a:avLst/>
        </a:prstGeom>
      </xdr:spPr>
    </xdr:pic>
    <xdr:clientData/>
  </xdr:twoCellAnchor>
  <xdr:twoCellAnchor editAs="oneCell">
    <xdr:from>
      <xdr:col>16</xdr:col>
      <xdr:colOff>460311</xdr:colOff>
      <xdr:row>19</xdr:row>
      <xdr:rowOff>247650</xdr:rowOff>
    </xdr:from>
    <xdr:to>
      <xdr:col>17</xdr:col>
      <xdr:colOff>65156</xdr:colOff>
      <xdr:row>21</xdr:row>
      <xdr:rowOff>139700</xdr:rowOff>
    </xdr:to>
    <xdr:pic>
      <xdr:nvPicPr>
        <xdr:cNvPr id="11" name="Imagine 10">
          <a:extLst>
            <a:ext uri="{FF2B5EF4-FFF2-40B4-BE49-F238E27FC236}">
              <a16:creationId xmlns:a16="http://schemas.microsoft.com/office/drawing/2014/main" id="{7CA5DF98-DEB6-4C22-828B-5BB9A6C1D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128686" y="5048250"/>
          <a:ext cx="681170" cy="476250"/>
        </a:xfrm>
        <a:prstGeom prst="rect">
          <a:avLst/>
        </a:prstGeom>
      </xdr:spPr>
    </xdr:pic>
    <xdr:clientData/>
  </xdr:twoCellAnchor>
  <xdr:twoCellAnchor editAs="oneCell">
    <xdr:from>
      <xdr:col>15</xdr:col>
      <xdr:colOff>19050</xdr:colOff>
      <xdr:row>19</xdr:row>
      <xdr:rowOff>152400</xdr:rowOff>
    </xdr:from>
    <xdr:to>
      <xdr:col>16</xdr:col>
      <xdr:colOff>361950</xdr:colOff>
      <xdr:row>22</xdr:row>
      <xdr:rowOff>0</xdr:rowOff>
    </xdr:to>
    <xdr:pic>
      <xdr:nvPicPr>
        <xdr:cNvPr id="12" name="Imagine 11" descr="plyta systemowa kr50 1g">
          <a:extLst>
            <a:ext uri="{FF2B5EF4-FFF2-40B4-BE49-F238E27FC236}">
              <a16:creationId xmlns:a16="http://schemas.microsoft.com/office/drawing/2014/main" id="{9129153D-891F-4175-9E39-C3017EC64F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82550" y="4953000"/>
          <a:ext cx="12477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577851</xdr:colOff>
      <xdr:row>18</xdr:row>
      <xdr:rowOff>47625</xdr:rowOff>
    </xdr:from>
    <xdr:to>
      <xdr:col>10</xdr:col>
      <xdr:colOff>87842</xdr:colOff>
      <xdr:row>21</xdr:row>
      <xdr:rowOff>28575</xdr:rowOff>
    </xdr:to>
    <xdr:pic>
      <xdr:nvPicPr>
        <xdr:cNvPr id="14" name="Imagine 13">
          <a:extLst>
            <a:ext uri="{FF2B5EF4-FFF2-40B4-BE49-F238E27FC236}">
              <a16:creationId xmlns:a16="http://schemas.microsoft.com/office/drawing/2014/main" id="{A5209453-2C87-40FD-8C05-F69B52A4A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997951" y="4514850"/>
          <a:ext cx="1107016" cy="806450"/>
        </a:xfrm>
        <a:prstGeom prst="rect">
          <a:avLst/>
        </a:prstGeom>
      </xdr:spPr>
    </xdr:pic>
    <xdr:clientData/>
  </xdr:twoCellAnchor>
  <xdr:twoCellAnchor editAs="oneCell">
    <xdr:from>
      <xdr:col>2</xdr:col>
      <xdr:colOff>3219450</xdr:colOff>
      <xdr:row>11</xdr:row>
      <xdr:rowOff>95250</xdr:rowOff>
    </xdr:from>
    <xdr:to>
      <xdr:col>5</xdr:col>
      <xdr:colOff>130175</xdr:colOff>
      <xdr:row>15</xdr:row>
      <xdr:rowOff>121104</xdr:rowOff>
    </xdr:to>
    <xdr:pic>
      <xdr:nvPicPr>
        <xdr:cNvPr id="16" name="Imagine 15">
          <a:extLst>
            <a:ext uri="{FF2B5EF4-FFF2-40B4-BE49-F238E27FC236}">
              <a16:creationId xmlns:a16="http://schemas.microsoft.com/office/drawing/2014/main" id="{2A5F1434-DE9D-488B-894A-681732668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267200" y="2400300"/>
          <a:ext cx="1552575" cy="1330779"/>
        </a:xfrm>
        <a:prstGeom prst="rect">
          <a:avLst/>
        </a:prstGeom>
      </xdr:spPr>
    </xdr:pic>
    <xdr:clientData/>
  </xdr:twoCellAnchor>
  <xdr:twoCellAnchor editAs="oneCell">
    <xdr:from>
      <xdr:col>2</xdr:col>
      <xdr:colOff>1981201</xdr:colOff>
      <xdr:row>11</xdr:row>
      <xdr:rowOff>320675</xdr:rowOff>
    </xdr:from>
    <xdr:to>
      <xdr:col>2</xdr:col>
      <xdr:colOff>3206750</xdr:colOff>
      <xdr:row>16</xdr:row>
      <xdr:rowOff>53975</xdr:rowOff>
    </xdr:to>
    <xdr:pic>
      <xdr:nvPicPr>
        <xdr:cNvPr id="17" name="Imagine 16">
          <a:extLst>
            <a:ext uri="{FF2B5EF4-FFF2-40B4-BE49-F238E27FC236}">
              <a16:creationId xmlns:a16="http://schemas.microsoft.com/office/drawing/2014/main" id="{8DCBA172-D78E-4F85-BF40-308580125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009901" y="2540000"/>
          <a:ext cx="1225549" cy="1438275"/>
        </a:xfrm>
        <a:prstGeom prst="rect">
          <a:avLst/>
        </a:prstGeom>
      </xdr:spPr>
    </xdr:pic>
    <xdr:clientData/>
  </xdr:twoCellAnchor>
  <xdr:twoCellAnchor editAs="oneCell">
    <xdr:from>
      <xdr:col>2</xdr:col>
      <xdr:colOff>3743325</xdr:colOff>
      <xdr:row>15</xdr:row>
      <xdr:rowOff>180976</xdr:rowOff>
    </xdr:from>
    <xdr:to>
      <xdr:col>4</xdr:col>
      <xdr:colOff>177800</xdr:colOff>
      <xdr:row>16</xdr:row>
      <xdr:rowOff>221578</xdr:rowOff>
    </xdr:to>
    <xdr:pic>
      <xdr:nvPicPr>
        <xdr:cNvPr id="18" name="Imagine 17">
          <a:extLst>
            <a:ext uri="{FF2B5EF4-FFF2-40B4-BE49-F238E27FC236}">
              <a16:creationId xmlns:a16="http://schemas.microsoft.com/office/drawing/2014/main" id="{635371E7-64E8-4ACA-B58E-2E728219A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791075" y="3790951"/>
          <a:ext cx="676275" cy="450177"/>
        </a:xfrm>
        <a:prstGeom prst="rect">
          <a:avLst/>
        </a:prstGeom>
      </xdr:spPr>
    </xdr:pic>
    <xdr:clientData/>
  </xdr:twoCellAnchor>
  <xdr:twoCellAnchor editAs="oneCell">
    <xdr:from>
      <xdr:col>8</xdr:col>
      <xdr:colOff>171451</xdr:colOff>
      <xdr:row>11</xdr:row>
      <xdr:rowOff>76200</xdr:rowOff>
    </xdr:from>
    <xdr:to>
      <xdr:col>9</xdr:col>
      <xdr:colOff>850340</xdr:colOff>
      <xdr:row>14</xdr:row>
      <xdr:rowOff>28575</xdr:rowOff>
    </xdr:to>
    <xdr:pic>
      <xdr:nvPicPr>
        <xdr:cNvPr id="19" name="Imagine 18">
          <a:extLst>
            <a:ext uri="{FF2B5EF4-FFF2-40B4-BE49-F238E27FC236}">
              <a16:creationId xmlns:a16="http://schemas.microsoft.com/office/drawing/2014/main" id="{FC9F9747-AE00-4616-BB3A-FA8BC7914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8267701" y="2381250"/>
          <a:ext cx="1263089" cy="847725"/>
        </a:xfrm>
        <a:prstGeom prst="rect">
          <a:avLst/>
        </a:prstGeom>
      </xdr:spPr>
    </xdr:pic>
    <xdr:clientData/>
  </xdr:twoCellAnchor>
  <xdr:twoCellAnchor editAs="oneCell">
    <xdr:from>
      <xdr:col>16</xdr:col>
      <xdr:colOff>949326</xdr:colOff>
      <xdr:row>10</xdr:row>
      <xdr:rowOff>314325</xdr:rowOff>
    </xdr:from>
    <xdr:to>
      <xdr:col>18</xdr:col>
      <xdr:colOff>326143</xdr:colOff>
      <xdr:row>14</xdr:row>
      <xdr:rowOff>171450</xdr:rowOff>
    </xdr:to>
    <xdr:pic>
      <xdr:nvPicPr>
        <xdr:cNvPr id="15" name="Imagine 14">
          <a:extLst>
            <a:ext uri="{FF2B5EF4-FFF2-40B4-BE49-F238E27FC236}">
              <a16:creationId xmlns:a16="http://schemas.microsoft.com/office/drawing/2014/main" id="{B3E9C03A-004A-C3E3-8F90-9FB109C88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5084426" y="2181225"/>
          <a:ext cx="1100842" cy="1095375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28575</xdr:colOff>
      <xdr:row>23</xdr:row>
      <xdr:rowOff>19050</xdr:rowOff>
    </xdr:from>
    <xdr:to>
      <xdr:col>12</xdr:col>
      <xdr:colOff>492125</xdr:colOff>
      <xdr:row>26</xdr:row>
      <xdr:rowOff>139735</xdr:rowOff>
    </xdr:to>
    <xdr:pic>
      <xdr:nvPicPr>
        <xdr:cNvPr id="13" name="Imagine 12">
          <a:extLst>
            <a:ext uri="{FF2B5EF4-FFF2-40B4-BE49-F238E27FC236}">
              <a16:creationId xmlns:a16="http://schemas.microsoft.com/office/drawing/2014/main" id="{0118D816-7E8C-4010-9B20-0B972D0AA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048875" y="5667375"/>
          <a:ext cx="1682750" cy="1082710"/>
        </a:xfrm>
        <a:prstGeom prst="rect">
          <a:avLst/>
        </a:prstGeom>
      </xdr:spPr>
    </xdr:pic>
    <xdr:clientData/>
  </xdr:twoCellAnchor>
  <xdr:twoCellAnchor editAs="oneCell">
    <xdr:from>
      <xdr:col>13</xdr:col>
      <xdr:colOff>276225</xdr:colOff>
      <xdr:row>23</xdr:row>
      <xdr:rowOff>25400</xdr:rowOff>
    </xdr:from>
    <xdr:to>
      <xdr:col>15</xdr:col>
      <xdr:colOff>393699</xdr:colOff>
      <xdr:row>26</xdr:row>
      <xdr:rowOff>67481</xdr:rowOff>
    </xdr:to>
    <xdr:pic>
      <xdr:nvPicPr>
        <xdr:cNvPr id="20" name="Imagine 16">
          <a:extLst>
            <a:ext uri="{FF2B5EF4-FFF2-40B4-BE49-F238E27FC236}">
              <a16:creationId xmlns:a16="http://schemas.microsoft.com/office/drawing/2014/main" id="{21254D7A-6A64-41FE-87D7-EB88E1E7B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2125325" y="5673725"/>
          <a:ext cx="1460499" cy="1004106"/>
        </a:xfrm>
        <a:prstGeom prst="rect">
          <a:avLst/>
        </a:prstGeom>
      </xdr:spPr>
    </xdr:pic>
    <xdr:clientData/>
  </xdr:twoCellAnchor>
  <xdr:twoCellAnchor editAs="oneCell">
    <xdr:from>
      <xdr:col>15</xdr:col>
      <xdr:colOff>723900</xdr:colOff>
      <xdr:row>23</xdr:row>
      <xdr:rowOff>73025</xdr:rowOff>
    </xdr:from>
    <xdr:to>
      <xdr:col>16</xdr:col>
      <xdr:colOff>1076326</xdr:colOff>
      <xdr:row>26</xdr:row>
      <xdr:rowOff>125877</xdr:rowOff>
    </xdr:to>
    <xdr:pic>
      <xdr:nvPicPr>
        <xdr:cNvPr id="21" name="Imagine 9">
          <a:extLst>
            <a:ext uri="{FF2B5EF4-FFF2-40B4-BE49-F238E27FC236}">
              <a16:creationId xmlns:a16="http://schemas.microsoft.com/office/drawing/2014/main" id="{41BFA1C9-4EE9-4800-84CE-67D51E2A8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3916025" y="5721350"/>
          <a:ext cx="1295401" cy="1014877"/>
        </a:xfrm>
        <a:prstGeom prst="rect">
          <a:avLst/>
        </a:prstGeom>
      </xdr:spPr>
    </xdr:pic>
    <xdr:clientData/>
  </xdr:twoCellAnchor>
  <xdr:twoCellAnchor editAs="oneCell">
    <xdr:from>
      <xdr:col>8</xdr:col>
      <xdr:colOff>187325</xdr:colOff>
      <xdr:row>23</xdr:row>
      <xdr:rowOff>76200</xdr:rowOff>
    </xdr:from>
    <xdr:to>
      <xdr:col>10</xdr:col>
      <xdr:colOff>365124</xdr:colOff>
      <xdr:row>28</xdr:row>
      <xdr:rowOff>82550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93E0E3B8-4B9D-FAB4-FBDC-EA15504F9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8559800" y="5924550"/>
          <a:ext cx="1777999" cy="1577975"/>
        </a:xfrm>
        <a:prstGeom prst="rect">
          <a:avLst/>
        </a:prstGeom>
      </xdr:spPr>
    </xdr:pic>
    <xdr:clientData/>
  </xdr:twoCellAnchor>
  <xdr:twoCellAnchor editAs="oneCell">
    <xdr:from>
      <xdr:col>2</xdr:col>
      <xdr:colOff>3762375</xdr:colOff>
      <xdr:row>207</xdr:row>
      <xdr:rowOff>0</xdr:rowOff>
    </xdr:from>
    <xdr:to>
      <xdr:col>6</xdr:col>
      <xdr:colOff>749300</xdr:colOff>
      <xdr:row>210</xdr:row>
      <xdr:rowOff>93086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BAAB78A4-FBA2-48E8-82A3-8EAFA616C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038725" y="54835425"/>
          <a:ext cx="2635250" cy="759836"/>
        </a:xfrm>
        <a:prstGeom prst="rect">
          <a:avLst/>
        </a:prstGeom>
      </xdr:spPr>
    </xdr:pic>
    <xdr:clientData/>
  </xdr:twoCellAnchor>
  <xdr:twoCellAnchor editAs="oneCell">
    <xdr:from>
      <xdr:col>2</xdr:col>
      <xdr:colOff>3549650</xdr:colOff>
      <xdr:row>185</xdr:row>
      <xdr:rowOff>25400</xdr:rowOff>
    </xdr:from>
    <xdr:to>
      <xdr:col>6</xdr:col>
      <xdr:colOff>711200</xdr:colOff>
      <xdr:row>188</xdr:row>
      <xdr:rowOff>114300</xdr:rowOff>
    </xdr:to>
    <xdr:pic>
      <xdr:nvPicPr>
        <xdr:cNvPr id="28" name="Imagine 6">
          <a:extLst>
            <a:ext uri="{FF2B5EF4-FFF2-40B4-BE49-F238E27FC236}">
              <a16:creationId xmlns:a16="http://schemas.microsoft.com/office/drawing/2014/main" id="{295A126C-4642-4D26-B1DC-EB6859AA8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826000" y="49441100"/>
          <a:ext cx="2809875" cy="736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609599</xdr:colOff>
      <xdr:row>12</xdr:row>
      <xdr:rowOff>333375</xdr:rowOff>
    </xdr:from>
    <xdr:to>
      <xdr:col>2</xdr:col>
      <xdr:colOff>2133600</xdr:colOff>
      <xdr:row>17</xdr:row>
      <xdr:rowOff>28073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0A57E9-3708-4930-8704-C1163E0AC5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299" y="2990850"/>
          <a:ext cx="1524001" cy="13266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209549</xdr:colOff>
      <xdr:row>11</xdr:row>
      <xdr:rowOff>323848</xdr:rowOff>
    </xdr:from>
    <xdr:to>
      <xdr:col>6</xdr:col>
      <xdr:colOff>931443</xdr:colOff>
      <xdr:row>16</xdr:row>
      <xdr:rowOff>133349</xdr:rowOff>
    </xdr:to>
    <xdr:pic>
      <xdr:nvPicPr>
        <xdr:cNvPr id="4" name="Imagine 8">
          <a:extLst>
            <a:ext uri="{FF2B5EF4-FFF2-40B4-BE49-F238E27FC236}">
              <a16:creationId xmlns:a16="http://schemas.microsoft.com/office/drawing/2014/main" id="{335C379D-9211-4DD1-AD2A-F7AE5EF1B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4549" y="2628898"/>
          <a:ext cx="1483894" cy="1524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12</xdr:row>
      <xdr:rowOff>314325</xdr:rowOff>
    </xdr:from>
    <xdr:to>
      <xdr:col>2</xdr:col>
      <xdr:colOff>742950</xdr:colOff>
      <xdr:row>17</xdr:row>
      <xdr:rowOff>7276</xdr:rowOff>
    </xdr:to>
    <xdr:pic>
      <xdr:nvPicPr>
        <xdr:cNvPr id="9" name="Picture 3">
          <a:extLst>
            <a:ext uri="{FF2B5EF4-FFF2-40B4-BE49-F238E27FC236}">
              <a16:creationId xmlns:a16="http://schemas.microsoft.com/office/drawing/2014/main" id="{4E234D33-9B49-4AFB-9E50-528C642CC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575" y="2971800"/>
          <a:ext cx="1733550" cy="1324901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3238500</xdr:colOff>
      <xdr:row>11</xdr:row>
      <xdr:rowOff>323850</xdr:rowOff>
    </xdr:from>
    <xdr:to>
      <xdr:col>5</xdr:col>
      <xdr:colOff>95250</xdr:colOff>
      <xdr:row>15</xdr:row>
      <xdr:rowOff>352879</xdr:rowOff>
    </xdr:to>
    <xdr:pic>
      <xdr:nvPicPr>
        <xdr:cNvPr id="20" name="Imagine 19">
          <a:extLst>
            <a:ext uri="{FF2B5EF4-FFF2-40B4-BE49-F238E27FC236}">
              <a16:creationId xmlns:a16="http://schemas.microsoft.com/office/drawing/2014/main" id="{74A85BD9-5055-4C8C-94B0-A2E9B4A86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67200" y="2628900"/>
          <a:ext cx="1552575" cy="1330779"/>
        </a:xfrm>
        <a:prstGeom prst="rect">
          <a:avLst/>
        </a:prstGeom>
      </xdr:spPr>
    </xdr:pic>
    <xdr:clientData/>
  </xdr:twoCellAnchor>
  <xdr:twoCellAnchor editAs="oneCell">
    <xdr:from>
      <xdr:col>2</xdr:col>
      <xdr:colOff>1962151</xdr:colOff>
      <xdr:row>11</xdr:row>
      <xdr:rowOff>257174</xdr:rowOff>
    </xdr:from>
    <xdr:to>
      <xdr:col>2</xdr:col>
      <xdr:colOff>3206750</xdr:colOff>
      <xdr:row>16</xdr:row>
      <xdr:rowOff>106472</xdr:rowOff>
    </xdr:to>
    <xdr:pic>
      <xdr:nvPicPr>
        <xdr:cNvPr id="21" name="Imagine 20">
          <a:extLst>
            <a:ext uri="{FF2B5EF4-FFF2-40B4-BE49-F238E27FC236}">
              <a16:creationId xmlns:a16="http://schemas.microsoft.com/office/drawing/2014/main" id="{F6A34052-ED40-4513-BBEC-2FBBFF18F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981326" y="2562224"/>
          <a:ext cx="1247774" cy="1566973"/>
        </a:xfrm>
        <a:prstGeom prst="rect">
          <a:avLst/>
        </a:prstGeom>
      </xdr:spPr>
    </xdr:pic>
    <xdr:clientData/>
  </xdr:twoCellAnchor>
  <xdr:twoCellAnchor editAs="oneCell">
    <xdr:from>
      <xdr:col>2</xdr:col>
      <xdr:colOff>361951</xdr:colOff>
      <xdr:row>11</xdr:row>
      <xdr:rowOff>19051</xdr:rowOff>
    </xdr:from>
    <xdr:to>
      <xdr:col>2</xdr:col>
      <xdr:colOff>1200151</xdr:colOff>
      <xdr:row>12</xdr:row>
      <xdr:rowOff>221416</xdr:rowOff>
    </xdr:to>
    <xdr:pic>
      <xdr:nvPicPr>
        <xdr:cNvPr id="22" name="Imagine 21">
          <a:extLst>
            <a:ext uri="{FF2B5EF4-FFF2-40B4-BE49-F238E27FC236}">
              <a16:creationId xmlns:a16="http://schemas.microsoft.com/office/drawing/2014/main" id="{26A6E4C9-C4C3-4481-AF97-D6DEBB846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90651" y="2324101"/>
          <a:ext cx="838200" cy="557965"/>
        </a:xfrm>
        <a:prstGeom prst="rect">
          <a:avLst/>
        </a:prstGeom>
      </xdr:spPr>
    </xdr:pic>
    <xdr:clientData/>
  </xdr:twoCellAnchor>
  <xdr:twoCellAnchor editAs="oneCell">
    <xdr:from>
      <xdr:col>2</xdr:col>
      <xdr:colOff>3543301</xdr:colOff>
      <xdr:row>62</xdr:row>
      <xdr:rowOff>200025</xdr:rowOff>
    </xdr:from>
    <xdr:to>
      <xdr:col>6</xdr:col>
      <xdr:colOff>901701</xdr:colOff>
      <xdr:row>66</xdr:row>
      <xdr:rowOff>113524</xdr:rowOff>
    </xdr:to>
    <xdr:pic>
      <xdr:nvPicPr>
        <xdr:cNvPr id="3" name="Imagine 2">
          <a:extLst>
            <a:ext uri="{FF2B5EF4-FFF2-40B4-BE49-F238E27FC236}">
              <a16:creationId xmlns:a16="http://schemas.microsoft.com/office/drawing/2014/main" id="{B68C17C2-AE9B-455C-9A08-59F3F0171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562476" y="11325225"/>
          <a:ext cx="2819400" cy="789799"/>
        </a:xfrm>
        <a:prstGeom prst="rect">
          <a:avLst/>
        </a:prstGeom>
      </xdr:spPr>
    </xdr:pic>
    <xdr:clientData/>
  </xdr:twoCellAnchor>
  <xdr:twoCellAnchor editAs="oneCell">
    <xdr:from>
      <xdr:col>2</xdr:col>
      <xdr:colOff>4076700</xdr:colOff>
      <xdr:row>84</xdr:row>
      <xdr:rowOff>57150</xdr:rowOff>
    </xdr:from>
    <xdr:to>
      <xdr:col>6</xdr:col>
      <xdr:colOff>990600</xdr:colOff>
      <xdr:row>87</xdr:row>
      <xdr:rowOff>150236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58B56CB-9054-4B7E-A75D-08180F198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153025" y="26108025"/>
          <a:ext cx="2628900" cy="75983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657224</xdr:colOff>
      <xdr:row>13</xdr:row>
      <xdr:rowOff>104775</xdr:rowOff>
    </xdr:from>
    <xdr:to>
      <xdr:col>2</xdr:col>
      <xdr:colOff>2038349</xdr:colOff>
      <xdr:row>17</xdr:row>
      <xdr:rowOff>27524</xdr:rowOff>
    </xdr:to>
    <xdr:pic>
      <xdr:nvPicPr>
        <xdr:cNvPr id="18" name="Picture 1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999" y="2762250"/>
          <a:ext cx="1381125" cy="1202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266699</xdr:colOff>
      <xdr:row>12</xdr:row>
      <xdr:rowOff>57148</xdr:rowOff>
    </xdr:from>
    <xdr:to>
      <xdr:col>6</xdr:col>
      <xdr:colOff>1026693</xdr:colOff>
      <xdr:row>16</xdr:row>
      <xdr:rowOff>222249</xdr:rowOff>
    </xdr:to>
    <xdr:pic>
      <xdr:nvPicPr>
        <xdr:cNvPr id="23" name="Imagine 8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2174" y="2714623"/>
          <a:ext cx="1483894" cy="1524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657225</xdr:colOff>
      <xdr:row>11</xdr:row>
      <xdr:rowOff>209549</xdr:rowOff>
    </xdr:from>
    <xdr:to>
      <xdr:col>2</xdr:col>
      <xdr:colOff>1358900</xdr:colOff>
      <xdr:row>12</xdr:row>
      <xdr:rowOff>333173</xdr:rowOff>
    </xdr:to>
    <xdr:pic>
      <xdr:nvPicPr>
        <xdr:cNvPr id="24" name="Imagine 9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" y="2514599"/>
          <a:ext cx="704850" cy="472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123824</xdr:colOff>
      <xdr:row>14</xdr:row>
      <xdr:rowOff>209550</xdr:rowOff>
    </xdr:from>
    <xdr:to>
      <xdr:col>2</xdr:col>
      <xdr:colOff>444500</xdr:colOff>
      <xdr:row>16</xdr:row>
      <xdr:rowOff>198706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3824" y="3409950"/>
          <a:ext cx="1381126" cy="811481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11</xdr:row>
      <xdr:rowOff>47626</xdr:rowOff>
    </xdr:from>
    <xdr:to>
      <xdr:col>2</xdr:col>
      <xdr:colOff>438150</xdr:colOff>
      <xdr:row>14</xdr:row>
      <xdr:rowOff>181885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2400" y="2352676"/>
          <a:ext cx="1343025" cy="1026434"/>
        </a:xfrm>
        <a:prstGeom prst="rect">
          <a:avLst/>
        </a:prstGeom>
      </xdr:spPr>
    </xdr:pic>
    <xdr:clientData/>
  </xdr:twoCellAnchor>
  <xdr:twoCellAnchor editAs="oneCell">
    <xdr:from>
      <xdr:col>2</xdr:col>
      <xdr:colOff>3324225</xdr:colOff>
      <xdr:row>11</xdr:row>
      <xdr:rowOff>323850</xdr:rowOff>
    </xdr:from>
    <xdr:to>
      <xdr:col>5</xdr:col>
      <xdr:colOff>190500</xdr:colOff>
      <xdr:row>15</xdr:row>
      <xdr:rowOff>352879</xdr:rowOff>
    </xdr:to>
    <xdr:pic>
      <xdr:nvPicPr>
        <xdr:cNvPr id="27" name="Imagine 26">
          <a:extLst>
            <a:ext uri="{FF2B5EF4-FFF2-40B4-BE49-F238E27FC236}">
              <a16:creationId xmlns:a16="http://schemas.microsoft.com/office/drawing/2014/main" id="{A1544F05-2303-763C-B5EC-F421EAF73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343400" y="2628900"/>
          <a:ext cx="1552575" cy="1330779"/>
        </a:xfrm>
        <a:prstGeom prst="rect">
          <a:avLst/>
        </a:prstGeom>
      </xdr:spPr>
    </xdr:pic>
    <xdr:clientData/>
  </xdr:twoCellAnchor>
  <xdr:twoCellAnchor editAs="oneCell">
    <xdr:from>
      <xdr:col>2</xdr:col>
      <xdr:colOff>2076451</xdr:colOff>
      <xdr:row>11</xdr:row>
      <xdr:rowOff>257175</xdr:rowOff>
    </xdr:from>
    <xdr:to>
      <xdr:col>2</xdr:col>
      <xdr:colOff>3302000</xdr:colOff>
      <xdr:row>16</xdr:row>
      <xdr:rowOff>82550</xdr:rowOff>
    </xdr:to>
    <xdr:pic>
      <xdr:nvPicPr>
        <xdr:cNvPr id="29" name="Imagine 28">
          <a:extLst>
            <a:ext uri="{FF2B5EF4-FFF2-40B4-BE49-F238E27FC236}">
              <a16:creationId xmlns:a16="http://schemas.microsoft.com/office/drawing/2014/main" id="{F2327D79-5C21-7B4A-40E6-08615DC48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095626" y="2562225"/>
          <a:ext cx="1228724" cy="154305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1428750</xdr:colOff>
      <xdr:row>11</xdr:row>
      <xdr:rowOff>266701</xdr:rowOff>
    </xdr:from>
    <xdr:to>
      <xdr:col>2</xdr:col>
      <xdr:colOff>2101850</xdr:colOff>
      <xdr:row>13</xdr:row>
      <xdr:rowOff>8853</xdr:rowOff>
    </xdr:to>
    <xdr:pic>
      <xdr:nvPicPr>
        <xdr:cNvPr id="30" name="Imagine 29">
          <a:extLst>
            <a:ext uri="{FF2B5EF4-FFF2-40B4-BE49-F238E27FC236}">
              <a16:creationId xmlns:a16="http://schemas.microsoft.com/office/drawing/2014/main" id="{2EFFB0D1-68C1-D89C-D581-61A3A361E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95525" y="2571751"/>
          <a:ext cx="676275" cy="450177"/>
        </a:xfrm>
        <a:prstGeom prst="rect">
          <a:avLst/>
        </a:prstGeom>
      </xdr:spPr>
    </xdr:pic>
    <xdr:clientData/>
  </xdr:twoCellAnchor>
  <xdr:twoCellAnchor editAs="oneCell">
    <xdr:from>
      <xdr:col>2</xdr:col>
      <xdr:colOff>3457575</xdr:colOff>
      <xdr:row>75</xdr:row>
      <xdr:rowOff>9525</xdr:rowOff>
    </xdr:from>
    <xdr:to>
      <xdr:col>6</xdr:col>
      <xdr:colOff>971958</xdr:colOff>
      <xdr:row>78</xdr:row>
      <xdr:rowOff>95250</xdr:rowOff>
    </xdr:to>
    <xdr:pic>
      <xdr:nvPicPr>
        <xdr:cNvPr id="2" name="Imagine 1">
          <a:extLst>
            <a:ext uri="{FF2B5EF4-FFF2-40B4-BE49-F238E27FC236}">
              <a16:creationId xmlns:a16="http://schemas.microsoft.com/office/drawing/2014/main" id="{21ADF69B-16D5-4FEA-A400-3BE9D2592B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514850" y="11096625"/>
          <a:ext cx="2924583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3895725</xdr:colOff>
      <xdr:row>96</xdr:row>
      <xdr:rowOff>66675</xdr:rowOff>
    </xdr:from>
    <xdr:to>
      <xdr:col>6</xdr:col>
      <xdr:colOff>844550</xdr:colOff>
      <xdr:row>99</xdr:row>
      <xdr:rowOff>159761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C70AB84-205B-4CC1-8B58-8A31A47F1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010150" y="29375100"/>
          <a:ext cx="2628900" cy="76301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57152</xdr:colOff>
      <xdr:row>2</xdr:row>
      <xdr:rowOff>38101</xdr:rowOff>
    </xdr:from>
    <xdr:to>
      <xdr:col>0</xdr:col>
      <xdr:colOff>733426</xdr:colOff>
      <xdr:row>2</xdr:row>
      <xdr:rowOff>460321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741E6ACE-D9B4-498A-A55D-C410E167C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2" y="457201"/>
          <a:ext cx="676274" cy="422220"/>
        </a:xfrm>
        <a:prstGeom prst="rect">
          <a:avLst/>
        </a:prstGeom>
      </xdr:spPr>
    </xdr:pic>
    <xdr:clientData/>
  </xdr:twoCellAnchor>
  <xdr:twoCellAnchor editAs="oneCell">
    <xdr:from>
      <xdr:col>5</xdr:col>
      <xdr:colOff>38102</xdr:colOff>
      <xdr:row>2</xdr:row>
      <xdr:rowOff>47625</xdr:rowOff>
    </xdr:from>
    <xdr:to>
      <xdr:col>5</xdr:col>
      <xdr:colOff>733425</xdr:colOff>
      <xdr:row>2</xdr:row>
      <xdr:rowOff>459512</xdr:rowOff>
    </xdr:to>
    <xdr:pic>
      <xdr:nvPicPr>
        <xdr:cNvPr id="3" name="Picture 21">
          <a:extLst>
            <a:ext uri="{FF2B5EF4-FFF2-40B4-BE49-F238E27FC236}">
              <a16:creationId xmlns:a16="http://schemas.microsoft.com/office/drawing/2014/main" id="{3AD8DC97-3C61-4C19-90D7-8268763A2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67102" y="466725"/>
          <a:ext cx="695323" cy="411887"/>
        </a:xfrm>
        <a:prstGeom prst="rect">
          <a:avLst/>
        </a:prstGeom>
      </xdr:spPr>
    </xdr:pic>
    <xdr:clientData/>
  </xdr:twoCellAnchor>
  <xdr:oneCellAnchor>
    <xdr:from>
      <xdr:col>11</xdr:col>
      <xdr:colOff>28576</xdr:colOff>
      <xdr:row>2</xdr:row>
      <xdr:rowOff>38101</xdr:rowOff>
    </xdr:from>
    <xdr:ext cx="704849" cy="422220"/>
    <xdr:pic>
      <xdr:nvPicPr>
        <xdr:cNvPr id="4" name="Picture 3">
          <a:extLst>
            <a:ext uri="{FF2B5EF4-FFF2-40B4-BE49-F238E27FC236}">
              <a16:creationId xmlns:a16="http://schemas.microsoft.com/office/drawing/2014/main" id="{F7A5E659-BDC2-4F8F-9C53-6FBE1571C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58076" y="657226"/>
          <a:ext cx="704849" cy="422220"/>
        </a:xfrm>
        <a:prstGeom prst="rect">
          <a:avLst/>
        </a:prstGeom>
      </xdr:spPr>
    </xdr:pic>
    <xdr:clientData/>
  </xdr:oneCellAnchor>
  <xdr:oneCellAnchor>
    <xdr:from>
      <xdr:col>16</xdr:col>
      <xdr:colOff>28577</xdr:colOff>
      <xdr:row>2</xdr:row>
      <xdr:rowOff>47625</xdr:rowOff>
    </xdr:from>
    <xdr:ext cx="742948" cy="411887"/>
    <xdr:pic>
      <xdr:nvPicPr>
        <xdr:cNvPr id="5" name="Picture 21">
          <a:extLst>
            <a:ext uri="{FF2B5EF4-FFF2-40B4-BE49-F238E27FC236}">
              <a16:creationId xmlns:a16="http://schemas.microsoft.com/office/drawing/2014/main" id="{847466D7-46D7-4F5D-B918-5B7BADB8D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629902" y="466725"/>
          <a:ext cx="742948" cy="411887"/>
        </a:xfrm>
        <a:prstGeom prst="rect">
          <a:avLst/>
        </a:prstGeom>
      </xdr:spPr>
    </xdr:pic>
    <xdr:clientData/>
  </xdr:oneCellAnchor>
  <xdr:oneCellAnchor>
    <xdr:from>
      <xdr:col>22</xdr:col>
      <xdr:colOff>19051</xdr:colOff>
      <xdr:row>2</xdr:row>
      <xdr:rowOff>28576</xdr:rowOff>
    </xdr:from>
    <xdr:ext cx="704849" cy="422220"/>
    <xdr:pic>
      <xdr:nvPicPr>
        <xdr:cNvPr id="7" name="Picture 3">
          <a:extLst>
            <a:ext uri="{FF2B5EF4-FFF2-40B4-BE49-F238E27FC236}">
              <a16:creationId xmlns:a16="http://schemas.microsoft.com/office/drawing/2014/main" id="{24450E06-23BD-480F-B48D-307CB8D88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620876" y="647701"/>
          <a:ext cx="704849" cy="422220"/>
        </a:xfrm>
        <a:prstGeom prst="rect">
          <a:avLst/>
        </a:prstGeom>
      </xdr:spPr>
    </xdr:pic>
    <xdr:clientData/>
  </xdr:oneCellAnchor>
  <xdr:oneCellAnchor>
    <xdr:from>
      <xdr:col>27</xdr:col>
      <xdr:colOff>28577</xdr:colOff>
      <xdr:row>2</xdr:row>
      <xdr:rowOff>47625</xdr:rowOff>
    </xdr:from>
    <xdr:ext cx="685798" cy="411887"/>
    <xdr:pic>
      <xdr:nvPicPr>
        <xdr:cNvPr id="8" name="Picture 21">
          <a:extLst>
            <a:ext uri="{FF2B5EF4-FFF2-40B4-BE49-F238E27FC236}">
              <a16:creationId xmlns:a16="http://schemas.microsoft.com/office/drawing/2014/main" id="{1794CF21-4711-4003-ADE2-AB2D4D362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830802" y="666750"/>
          <a:ext cx="685798" cy="411887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295275</xdr:colOff>
      <xdr:row>7</xdr:row>
      <xdr:rowOff>66674</xdr:rowOff>
    </xdr:from>
    <xdr:to>
      <xdr:col>6</xdr:col>
      <xdr:colOff>970283</xdr:colOff>
      <xdr:row>11</xdr:row>
      <xdr:rowOff>285751</xdr:rowOff>
    </xdr:to>
    <xdr:pic>
      <xdr:nvPicPr>
        <xdr:cNvPr id="2" name="Imagine 8">
          <a:extLst>
            <a:ext uri="{FF2B5EF4-FFF2-40B4-BE49-F238E27FC236}">
              <a16:creationId xmlns:a16="http://schemas.microsoft.com/office/drawing/2014/main" id="{138974CC-69F1-43FD-9BE4-93604CBE8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9050" y="1317624"/>
          <a:ext cx="1430658" cy="13684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1771650</xdr:colOff>
      <xdr:row>7</xdr:row>
      <xdr:rowOff>123824</xdr:rowOff>
    </xdr:from>
    <xdr:to>
      <xdr:col>2</xdr:col>
      <xdr:colOff>2330450</xdr:colOff>
      <xdr:row>8</xdr:row>
      <xdr:rowOff>277308</xdr:rowOff>
    </xdr:to>
    <xdr:pic>
      <xdr:nvPicPr>
        <xdr:cNvPr id="3" name="Imagine 9">
          <a:extLst>
            <a:ext uri="{FF2B5EF4-FFF2-40B4-BE49-F238E27FC236}">
              <a16:creationId xmlns:a16="http://schemas.microsoft.com/office/drawing/2014/main" id="{E9B2A127-1842-488A-8FC1-265E207856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9425" y="1374774"/>
          <a:ext cx="561975" cy="3757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3635376</xdr:colOff>
      <xdr:row>7</xdr:row>
      <xdr:rowOff>82551</xdr:rowOff>
    </xdr:from>
    <xdr:to>
      <xdr:col>5</xdr:col>
      <xdr:colOff>123825</xdr:colOff>
      <xdr:row>10</xdr:row>
      <xdr:rowOff>333542</xdr:rowOff>
    </xdr:to>
    <xdr:pic>
      <xdr:nvPicPr>
        <xdr:cNvPr id="4" name="Imagine 26">
          <a:extLst>
            <a:ext uri="{FF2B5EF4-FFF2-40B4-BE49-F238E27FC236}">
              <a16:creationId xmlns:a16="http://schemas.microsoft.com/office/drawing/2014/main" id="{6BBFE18C-73E8-4144-9792-C1BDA97C4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83151" y="1333501"/>
          <a:ext cx="1314449" cy="987591"/>
        </a:xfrm>
        <a:prstGeom prst="rect">
          <a:avLst/>
        </a:prstGeom>
      </xdr:spPr>
    </xdr:pic>
    <xdr:clientData/>
  </xdr:twoCellAnchor>
  <xdr:twoCellAnchor editAs="oneCell">
    <xdr:from>
      <xdr:col>2</xdr:col>
      <xdr:colOff>3895726</xdr:colOff>
      <xdr:row>85</xdr:row>
      <xdr:rowOff>53975</xdr:rowOff>
    </xdr:from>
    <xdr:to>
      <xdr:col>6</xdr:col>
      <xdr:colOff>819150</xdr:colOff>
      <xdr:row>88</xdr:row>
      <xdr:rowOff>73259</xdr:rowOff>
    </xdr:to>
    <xdr:pic>
      <xdr:nvPicPr>
        <xdr:cNvPr id="5" name="Imagine 1">
          <a:extLst>
            <a:ext uri="{FF2B5EF4-FFF2-40B4-BE49-F238E27FC236}">
              <a16:creationId xmlns:a16="http://schemas.microsoft.com/office/drawing/2014/main" id="{C4FF46C4-8F19-497C-A9BB-4F3800009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140326" y="19551650"/>
          <a:ext cx="2508249" cy="590784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106</xdr:row>
      <xdr:rowOff>38101</xdr:rowOff>
    </xdr:from>
    <xdr:to>
      <xdr:col>6</xdr:col>
      <xdr:colOff>429187</xdr:colOff>
      <xdr:row>109</xdr:row>
      <xdr:rowOff>206376</xdr:rowOff>
    </xdr:to>
    <xdr:pic>
      <xdr:nvPicPr>
        <xdr:cNvPr id="6" name="Imagine 2">
          <a:extLst>
            <a:ext uri="{FF2B5EF4-FFF2-40B4-BE49-F238E27FC236}">
              <a16:creationId xmlns:a16="http://schemas.microsoft.com/office/drawing/2014/main" id="{B3790755-3F80-4B9A-BFD9-5373A785E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219700" y="24336376"/>
          <a:ext cx="2035737" cy="663575"/>
        </a:xfrm>
        <a:prstGeom prst="rect">
          <a:avLst/>
        </a:prstGeom>
      </xdr:spPr>
    </xdr:pic>
    <xdr:clientData/>
  </xdr:twoCellAnchor>
  <xdr:twoCellAnchor editAs="oneCell">
    <xdr:from>
      <xdr:col>6</xdr:col>
      <xdr:colOff>501650</xdr:colOff>
      <xdr:row>106</xdr:row>
      <xdr:rowOff>47625</xdr:rowOff>
    </xdr:from>
    <xdr:to>
      <xdr:col>6</xdr:col>
      <xdr:colOff>863772</xdr:colOff>
      <xdr:row>109</xdr:row>
      <xdr:rowOff>180975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B19B2CE-8F47-4197-BE24-82C45DAF7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334250" y="24342725"/>
          <a:ext cx="362122" cy="62865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8</xdr:row>
      <xdr:rowOff>22223</xdr:rowOff>
    </xdr:from>
    <xdr:to>
      <xdr:col>2</xdr:col>
      <xdr:colOff>330200</xdr:colOff>
      <xdr:row>11</xdr:row>
      <xdr:rowOff>266699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4225254-17C2-405A-A4B0-5FA2AF5C2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4450" y="1498598"/>
          <a:ext cx="1536700" cy="1168401"/>
        </a:xfrm>
        <a:prstGeom prst="rect">
          <a:avLst/>
        </a:prstGeom>
      </xdr:spPr>
    </xdr:pic>
    <xdr:clientData/>
  </xdr:twoCellAnchor>
  <xdr:twoCellAnchor editAs="oneCell">
    <xdr:from>
      <xdr:col>2</xdr:col>
      <xdr:colOff>1120775</xdr:colOff>
      <xdr:row>7</xdr:row>
      <xdr:rowOff>9525</xdr:rowOff>
    </xdr:from>
    <xdr:to>
      <xdr:col>2</xdr:col>
      <xdr:colOff>1649131</xdr:colOff>
      <xdr:row>8</xdr:row>
      <xdr:rowOff>275263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3C75775-BF1A-49F4-88BA-2FAF5FA4E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368550" y="1254125"/>
          <a:ext cx="525181" cy="500688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654050</xdr:colOff>
      <xdr:row>10</xdr:row>
      <xdr:rowOff>234950</xdr:rowOff>
    </xdr:from>
    <xdr:to>
      <xdr:col>2</xdr:col>
      <xdr:colOff>1207992</xdr:colOff>
      <xdr:row>11</xdr:row>
      <xdr:rowOff>325220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FE26BCF9-7C45-4AFF-BD32-43B6F8869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905000" y="2228850"/>
          <a:ext cx="553942" cy="496670"/>
        </a:xfrm>
        <a:prstGeom prst="rect">
          <a:avLst/>
        </a:prstGeom>
      </xdr:spPr>
    </xdr:pic>
    <xdr:clientData/>
  </xdr:twoCellAnchor>
  <xdr:twoCellAnchor editAs="oneCell">
    <xdr:from>
      <xdr:col>3</xdr:col>
      <xdr:colOff>292100</xdr:colOff>
      <xdr:row>10</xdr:row>
      <xdr:rowOff>380999</xdr:rowOff>
    </xdr:from>
    <xdr:to>
      <xdr:col>4</xdr:col>
      <xdr:colOff>177800</xdr:colOff>
      <xdr:row>12</xdr:row>
      <xdr:rowOff>20147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DCEE95F8-5D2D-4D3C-804E-F62624BBA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514975" y="2371724"/>
          <a:ext cx="295275" cy="458298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247650</xdr:colOff>
      <xdr:row>10</xdr:row>
      <xdr:rowOff>377825</xdr:rowOff>
    </xdr:from>
    <xdr:to>
      <xdr:col>5</xdr:col>
      <xdr:colOff>143958</xdr:colOff>
      <xdr:row>12</xdr:row>
      <xdr:rowOff>22224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AD901952-3AEA-4ED4-850D-45CBE65D1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876925" y="2368550"/>
          <a:ext cx="340808" cy="463549"/>
        </a:xfrm>
        <a:prstGeom prst="rect">
          <a:avLst/>
        </a:prstGeom>
      </xdr:spPr>
    </xdr:pic>
    <xdr:clientData/>
  </xdr:twoCellAnchor>
  <xdr:twoCellAnchor editAs="oneCell">
    <xdr:from>
      <xdr:col>2</xdr:col>
      <xdr:colOff>3787775</xdr:colOff>
      <xdr:row>11</xdr:row>
      <xdr:rowOff>9525</xdr:rowOff>
    </xdr:from>
    <xdr:to>
      <xdr:col>3</xdr:col>
      <xdr:colOff>163033</xdr:colOff>
      <xdr:row>11</xdr:row>
      <xdr:rowOff>396875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A20A810-1E0E-49EF-892E-53FA9AF19C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035550" y="2406650"/>
          <a:ext cx="344008" cy="390525"/>
        </a:xfrm>
        <a:prstGeom prst="rect">
          <a:avLst/>
        </a:prstGeom>
      </xdr:spPr>
    </xdr:pic>
    <xdr:clientData/>
  </xdr:twoCellAnchor>
  <xdr:twoCellAnchor editAs="oneCell">
    <xdr:from>
      <xdr:col>9</xdr:col>
      <xdr:colOff>276225</xdr:colOff>
      <xdr:row>12</xdr:row>
      <xdr:rowOff>133349</xdr:rowOff>
    </xdr:from>
    <xdr:to>
      <xdr:col>11</xdr:col>
      <xdr:colOff>330200</xdr:colOff>
      <xdr:row>18</xdr:row>
      <xdr:rowOff>160207</xdr:rowOff>
    </xdr:to>
    <xdr:pic>
      <xdr:nvPicPr>
        <xdr:cNvPr id="14" name="Imagine 23">
          <a:extLst>
            <a:ext uri="{FF2B5EF4-FFF2-40B4-BE49-F238E27FC236}">
              <a16:creationId xmlns:a16="http://schemas.microsoft.com/office/drawing/2014/main" id="{133439D0-E5F1-475F-9074-1EF85A44B3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0375" y="2943224"/>
          <a:ext cx="1651000" cy="15635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1123950</xdr:colOff>
      <xdr:row>8</xdr:row>
      <xdr:rowOff>273050</xdr:rowOff>
    </xdr:from>
    <xdr:to>
      <xdr:col>2</xdr:col>
      <xdr:colOff>2333625</xdr:colOff>
      <xdr:row>11</xdr:row>
      <xdr:rowOff>370542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12052B4-1ACF-46C7-996A-0653262ED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371725" y="1752600"/>
          <a:ext cx="1206500" cy="1021417"/>
        </a:xfrm>
        <a:prstGeom prst="rect">
          <a:avLst/>
        </a:prstGeom>
      </xdr:spPr>
    </xdr:pic>
    <xdr:clientData/>
  </xdr:twoCellAnchor>
  <xdr:twoCellAnchor editAs="oneCell">
    <xdr:from>
      <xdr:col>8</xdr:col>
      <xdr:colOff>123824</xdr:colOff>
      <xdr:row>7</xdr:row>
      <xdr:rowOff>28575</xdr:rowOff>
    </xdr:from>
    <xdr:to>
      <xdr:col>9</xdr:col>
      <xdr:colOff>908049</xdr:colOff>
      <xdr:row>10</xdr:row>
      <xdr:rowOff>342748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7883C9C-F057-4E34-988E-89535C8AF8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199" y="1273175"/>
          <a:ext cx="1397000" cy="10602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2305050</xdr:colOff>
      <xdr:row>7</xdr:row>
      <xdr:rowOff>130175</xdr:rowOff>
    </xdr:from>
    <xdr:to>
      <xdr:col>2</xdr:col>
      <xdr:colOff>3638736</xdr:colOff>
      <xdr:row>11</xdr:row>
      <xdr:rowOff>362143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2E20C4BB-2986-456A-8864-29D807105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552825" y="1377950"/>
          <a:ext cx="1333686" cy="1384493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7</xdr:row>
      <xdr:rowOff>82550</xdr:rowOff>
    </xdr:from>
    <xdr:to>
      <xdr:col>2</xdr:col>
      <xdr:colOff>1079419</xdr:colOff>
      <xdr:row>10</xdr:row>
      <xdr:rowOff>238125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3EDBD6A9-08E7-4EB6-8474-EE40C482C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628775" y="1333500"/>
          <a:ext cx="695244" cy="8921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295275</xdr:colOff>
      <xdr:row>7</xdr:row>
      <xdr:rowOff>66674</xdr:rowOff>
    </xdr:from>
    <xdr:to>
      <xdr:col>6</xdr:col>
      <xdr:colOff>970283</xdr:colOff>
      <xdr:row>11</xdr:row>
      <xdr:rowOff>285751</xdr:rowOff>
    </xdr:to>
    <xdr:pic>
      <xdr:nvPicPr>
        <xdr:cNvPr id="2" name="Imagine 8">
          <a:extLst>
            <a:ext uri="{FF2B5EF4-FFF2-40B4-BE49-F238E27FC236}">
              <a16:creationId xmlns:a16="http://schemas.microsoft.com/office/drawing/2014/main" id="{4B415805-7755-473D-858D-6EB8A607A5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8575" y="1327149"/>
          <a:ext cx="1430658" cy="13684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3635376</xdr:colOff>
      <xdr:row>7</xdr:row>
      <xdr:rowOff>82551</xdr:rowOff>
    </xdr:from>
    <xdr:to>
      <xdr:col>5</xdr:col>
      <xdr:colOff>180975</xdr:colOff>
      <xdr:row>10</xdr:row>
      <xdr:rowOff>330367</xdr:rowOff>
    </xdr:to>
    <xdr:pic>
      <xdr:nvPicPr>
        <xdr:cNvPr id="3" name="Imagine 26">
          <a:extLst>
            <a:ext uri="{FF2B5EF4-FFF2-40B4-BE49-F238E27FC236}">
              <a16:creationId xmlns:a16="http://schemas.microsoft.com/office/drawing/2014/main" id="{3A42DFC5-5017-4CC5-824C-00F7AC0DC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49826" y="1343026"/>
          <a:ext cx="1317624" cy="987591"/>
        </a:xfrm>
        <a:prstGeom prst="rect">
          <a:avLst/>
        </a:prstGeom>
      </xdr:spPr>
    </xdr:pic>
    <xdr:clientData/>
  </xdr:twoCellAnchor>
  <xdr:twoCellAnchor editAs="oneCell">
    <xdr:from>
      <xdr:col>2</xdr:col>
      <xdr:colOff>3752851</xdr:colOff>
      <xdr:row>84</xdr:row>
      <xdr:rowOff>66675</xdr:rowOff>
    </xdr:from>
    <xdr:to>
      <xdr:col>6</xdr:col>
      <xdr:colOff>914400</xdr:colOff>
      <xdr:row>86</xdr:row>
      <xdr:rowOff>178480</xdr:rowOff>
    </xdr:to>
    <xdr:pic>
      <xdr:nvPicPr>
        <xdr:cNvPr id="4" name="Imagine 1">
          <a:extLst>
            <a:ext uri="{FF2B5EF4-FFF2-40B4-BE49-F238E27FC236}">
              <a16:creationId xmlns:a16="http://schemas.microsoft.com/office/drawing/2014/main" id="{0519AC37-1EBE-4C3C-92CD-AE63FF578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67301" y="19364325"/>
          <a:ext cx="2686049" cy="626155"/>
        </a:xfrm>
        <a:prstGeom prst="rect">
          <a:avLst/>
        </a:prstGeom>
      </xdr:spPr>
    </xdr:pic>
    <xdr:clientData/>
  </xdr:twoCellAnchor>
  <xdr:twoCellAnchor editAs="oneCell">
    <xdr:from>
      <xdr:col>2</xdr:col>
      <xdr:colOff>3921125</xdr:colOff>
      <xdr:row>106</xdr:row>
      <xdr:rowOff>95250</xdr:rowOff>
    </xdr:from>
    <xdr:to>
      <xdr:col>6</xdr:col>
      <xdr:colOff>721039</xdr:colOff>
      <xdr:row>109</xdr:row>
      <xdr:rowOff>225531</xdr:rowOff>
    </xdr:to>
    <xdr:pic>
      <xdr:nvPicPr>
        <xdr:cNvPr id="5" name="Imagine 2">
          <a:extLst>
            <a:ext uri="{FF2B5EF4-FFF2-40B4-BE49-F238E27FC236}">
              <a16:creationId xmlns:a16="http://schemas.microsoft.com/office/drawing/2014/main" id="{EF71663F-6575-4A3E-A64B-798706352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226050" y="23764875"/>
          <a:ext cx="2333939" cy="758931"/>
        </a:xfrm>
        <a:prstGeom prst="rect">
          <a:avLst/>
        </a:prstGeom>
      </xdr:spPr>
    </xdr:pic>
    <xdr:clientData/>
  </xdr:twoCellAnchor>
  <xdr:twoCellAnchor editAs="oneCell">
    <xdr:from>
      <xdr:col>6</xdr:col>
      <xdr:colOff>542925</xdr:colOff>
      <xdr:row>106</xdr:row>
      <xdr:rowOff>44450</xdr:rowOff>
    </xdr:from>
    <xdr:to>
      <xdr:col>6</xdr:col>
      <xdr:colOff>952557</xdr:colOff>
      <xdr:row>109</xdr:row>
      <xdr:rowOff>120748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7B4350A-03CF-470F-82DD-FFB511979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378700" y="23717250"/>
          <a:ext cx="412807" cy="701773"/>
        </a:xfrm>
        <a:prstGeom prst="rect">
          <a:avLst/>
        </a:prstGeom>
      </xdr:spPr>
    </xdr:pic>
    <xdr:clientData/>
  </xdr:twoCellAnchor>
  <xdr:twoCellAnchor editAs="oneCell">
    <xdr:from>
      <xdr:col>0</xdr:col>
      <xdr:colOff>38099</xdr:colOff>
      <xdr:row>7</xdr:row>
      <xdr:rowOff>215899</xdr:rowOff>
    </xdr:from>
    <xdr:to>
      <xdr:col>2</xdr:col>
      <xdr:colOff>152400</xdr:colOff>
      <xdr:row>11</xdr:row>
      <xdr:rowOff>400049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9BF2CE6-7AC4-4BFF-B628-8D2918A46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8099" y="1476374"/>
          <a:ext cx="1428751" cy="1333500"/>
        </a:xfrm>
        <a:prstGeom prst="rect">
          <a:avLst/>
        </a:prstGeom>
      </xdr:spPr>
    </xdr:pic>
    <xdr:clientData/>
  </xdr:twoCellAnchor>
  <xdr:twoCellAnchor editAs="oneCell">
    <xdr:from>
      <xdr:col>2</xdr:col>
      <xdr:colOff>302844</xdr:colOff>
      <xdr:row>7</xdr:row>
      <xdr:rowOff>161289</xdr:rowOff>
    </xdr:from>
    <xdr:to>
      <xdr:col>2</xdr:col>
      <xdr:colOff>703572</xdr:colOff>
      <xdr:row>11</xdr:row>
      <xdr:rowOff>313277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2C9A0CC-BD53-4947-B1E8-5054C80F5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16610542">
          <a:off x="1166989" y="1872069"/>
          <a:ext cx="1301338" cy="400728"/>
        </a:xfrm>
        <a:prstGeom prst="rect">
          <a:avLst/>
        </a:prstGeom>
      </xdr:spPr>
    </xdr:pic>
    <xdr:clientData/>
  </xdr:twoCellAnchor>
  <xdr:twoCellAnchor editAs="oneCell">
    <xdr:from>
      <xdr:col>2</xdr:col>
      <xdr:colOff>1533525</xdr:colOff>
      <xdr:row>7</xdr:row>
      <xdr:rowOff>63500</xdr:rowOff>
    </xdr:from>
    <xdr:to>
      <xdr:col>2</xdr:col>
      <xdr:colOff>2055531</xdr:colOff>
      <xdr:row>9</xdr:row>
      <xdr:rowOff>2213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86EDCC5-30E6-407B-95B5-1B95EE72B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2440783">
          <a:off x="2844800" y="1323975"/>
          <a:ext cx="525181" cy="49751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8</xdr:row>
      <xdr:rowOff>219075</xdr:rowOff>
    </xdr:from>
    <xdr:to>
      <xdr:col>2</xdr:col>
      <xdr:colOff>1220692</xdr:colOff>
      <xdr:row>10</xdr:row>
      <xdr:rowOff>198220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7D016A38-97B0-48FD-B4A6-CF28A33DA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981200" y="1701800"/>
          <a:ext cx="553942" cy="496670"/>
        </a:xfrm>
        <a:prstGeom prst="rect">
          <a:avLst/>
        </a:prstGeom>
      </xdr:spPr>
    </xdr:pic>
    <xdr:clientData/>
  </xdr:twoCellAnchor>
  <xdr:twoCellAnchor editAs="oneCell">
    <xdr:from>
      <xdr:col>2</xdr:col>
      <xdr:colOff>3676650</xdr:colOff>
      <xdr:row>10</xdr:row>
      <xdr:rowOff>361950</xdr:rowOff>
    </xdr:from>
    <xdr:to>
      <xdr:col>5</xdr:col>
      <xdr:colOff>57310</xdr:colOff>
      <xdr:row>12</xdr:row>
      <xdr:rowOff>34994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271DE9E-03C0-43B1-B7B7-D64C59D03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991100" y="2362200"/>
          <a:ext cx="1152685" cy="492194"/>
        </a:xfrm>
        <a:prstGeom prst="rect">
          <a:avLst/>
        </a:prstGeom>
      </xdr:spPr>
    </xdr:pic>
    <xdr:clientData/>
  </xdr:twoCellAnchor>
  <xdr:twoCellAnchor editAs="oneCell">
    <xdr:from>
      <xdr:col>2</xdr:col>
      <xdr:colOff>1196975</xdr:colOff>
      <xdr:row>8</xdr:row>
      <xdr:rowOff>258358</xdr:rowOff>
    </xdr:from>
    <xdr:to>
      <xdr:col>2</xdr:col>
      <xdr:colOff>2447925</xdr:colOff>
      <xdr:row>11</xdr:row>
      <xdr:rowOff>390063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1F225974-48DA-4F5D-BEAE-7BD5AFC09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511425" y="1741083"/>
          <a:ext cx="1250950" cy="1058805"/>
        </a:xfrm>
        <a:prstGeom prst="rect">
          <a:avLst/>
        </a:prstGeom>
      </xdr:spPr>
    </xdr:pic>
    <xdr:clientData/>
  </xdr:twoCellAnchor>
  <xdr:twoCellAnchor editAs="oneCell">
    <xdr:from>
      <xdr:col>2</xdr:col>
      <xdr:colOff>2257425</xdr:colOff>
      <xdr:row>7</xdr:row>
      <xdr:rowOff>114301</xdr:rowOff>
    </xdr:from>
    <xdr:to>
      <xdr:col>2</xdr:col>
      <xdr:colOff>3759200</xdr:colOff>
      <xdr:row>11</xdr:row>
      <xdr:rowOff>393047</xdr:rowOff>
    </xdr:to>
    <xdr:pic>
      <xdr:nvPicPr>
        <xdr:cNvPr id="13" name="Imagine 23">
          <a:extLst>
            <a:ext uri="{FF2B5EF4-FFF2-40B4-BE49-F238E27FC236}">
              <a16:creationId xmlns:a16="http://schemas.microsoft.com/office/drawing/2014/main" id="{1DFDCD07-72C2-4AD5-90DC-40E6B20EA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8700" y="1371601"/>
          <a:ext cx="1504950" cy="14312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10</xdr:row>
      <xdr:rowOff>0</xdr:rowOff>
    </xdr:from>
    <xdr:to>
      <xdr:col>10</xdr:col>
      <xdr:colOff>139700</xdr:colOff>
      <xdr:row>12</xdr:row>
      <xdr:rowOff>26250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9E7221A1-6B96-4FBC-A0FD-6908312C5C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6850" y="2000250"/>
          <a:ext cx="1120775" cy="84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295275</xdr:colOff>
      <xdr:row>7</xdr:row>
      <xdr:rowOff>66674</xdr:rowOff>
    </xdr:from>
    <xdr:to>
      <xdr:col>6</xdr:col>
      <xdr:colOff>970283</xdr:colOff>
      <xdr:row>11</xdr:row>
      <xdr:rowOff>285751</xdr:rowOff>
    </xdr:to>
    <xdr:pic>
      <xdr:nvPicPr>
        <xdr:cNvPr id="2" name="Imagine 8">
          <a:extLst>
            <a:ext uri="{FF2B5EF4-FFF2-40B4-BE49-F238E27FC236}">
              <a16:creationId xmlns:a16="http://schemas.microsoft.com/office/drawing/2014/main" id="{8C1FEEB7-0D08-4DE1-A1BC-83D0965DDC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6675" y="1327149"/>
          <a:ext cx="1430658" cy="13684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2171700</xdr:colOff>
      <xdr:row>7</xdr:row>
      <xdr:rowOff>114299</xdr:rowOff>
    </xdr:from>
    <xdr:to>
      <xdr:col>2</xdr:col>
      <xdr:colOff>2730500</xdr:colOff>
      <xdr:row>8</xdr:row>
      <xdr:rowOff>267783</xdr:rowOff>
    </xdr:to>
    <xdr:pic>
      <xdr:nvPicPr>
        <xdr:cNvPr id="3" name="Imagine 9">
          <a:extLst>
            <a:ext uri="{FF2B5EF4-FFF2-40B4-BE49-F238E27FC236}">
              <a16:creationId xmlns:a16="http://schemas.microsoft.com/office/drawing/2014/main" id="{DD93D69A-2615-4A2D-8846-F2FFAFEFD0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6150" y="1371599"/>
          <a:ext cx="561975" cy="3820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3644901</xdr:colOff>
      <xdr:row>7</xdr:row>
      <xdr:rowOff>57151</xdr:rowOff>
    </xdr:from>
    <xdr:to>
      <xdr:col>5</xdr:col>
      <xdr:colOff>152400</xdr:colOff>
      <xdr:row>10</xdr:row>
      <xdr:rowOff>301792</xdr:rowOff>
    </xdr:to>
    <xdr:pic>
      <xdr:nvPicPr>
        <xdr:cNvPr id="4" name="Imagine 26">
          <a:extLst>
            <a:ext uri="{FF2B5EF4-FFF2-40B4-BE49-F238E27FC236}">
              <a16:creationId xmlns:a16="http://schemas.microsoft.com/office/drawing/2014/main" id="{A50A5507-7F9D-45C0-ABBC-E2C498F47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962526" y="1314451"/>
          <a:ext cx="1314449" cy="987591"/>
        </a:xfrm>
        <a:prstGeom prst="rect">
          <a:avLst/>
        </a:prstGeom>
      </xdr:spPr>
    </xdr:pic>
    <xdr:clientData/>
  </xdr:twoCellAnchor>
  <xdr:twoCellAnchor editAs="oneCell">
    <xdr:from>
      <xdr:col>2</xdr:col>
      <xdr:colOff>3305175</xdr:colOff>
      <xdr:row>86</xdr:row>
      <xdr:rowOff>187325</xdr:rowOff>
    </xdr:from>
    <xdr:to>
      <xdr:col>6</xdr:col>
      <xdr:colOff>930683</xdr:colOff>
      <xdr:row>90</xdr:row>
      <xdr:rowOff>76200</xdr:rowOff>
    </xdr:to>
    <xdr:pic>
      <xdr:nvPicPr>
        <xdr:cNvPr id="5" name="Imagine 1">
          <a:extLst>
            <a:ext uri="{FF2B5EF4-FFF2-40B4-BE49-F238E27FC236}">
              <a16:creationId xmlns:a16="http://schemas.microsoft.com/office/drawing/2014/main" id="{7D85B74B-483F-4826-AA4B-2700474BD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16450" y="20170775"/>
          <a:ext cx="3191283" cy="755650"/>
        </a:xfrm>
        <a:prstGeom prst="rect">
          <a:avLst/>
        </a:prstGeom>
      </xdr:spPr>
    </xdr:pic>
    <xdr:clientData/>
  </xdr:twoCellAnchor>
  <xdr:twoCellAnchor editAs="oneCell">
    <xdr:from>
      <xdr:col>2</xdr:col>
      <xdr:colOff>3921125</xdr:colOff>
      <xdr:row>109</xdr:row>
      <xdr:rowOff>95250</xdr:rowOff>
    </xdr:from>
    <xdr:to>
      <xdr:col>6</xdr:col>
      <xdr:colOff>686114</xdr:colOff>
      <xdr:row>112</xdr:row>
      <xdr:rowOff>187431</xdr:rowOff>
    </xdr:to>
    <xdr:pic>
      <xdr:nvPicPr>
        <xdr:cNvPr id="6" name="Imagine 2">
          <a:extLst>
            <a:ext uri="{FF2B5EF4-FFF2-40B4-BE49-F238E27FC236}">
              <a16:creationId xmlns:a16="http://schemas.microsoft.com/office/drawing/2014/main" id="{8F82D38A-5656-47C4-8FE5-4C7FA424F7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235575" y="25631775"/>
          <a:ext cx="2327589" cy="758931"/>
        </a:xfrm>
        <a:prstGeom prst="rect">
          <a:avLst/>
        </a:prstGeom>
      </xdr:spPr>
    </xdr:pic>
    <xdr:clientData/>
  </xdr:twoCellAnchor>
  <xdr:twoCellAnchor editAs="oneCell">
    <xdr:from>
      <xdr:col>6</xdr:col>
      <xdr:colOff>542925</xdr:colOff>
      <xdr:row>109</xdr:row>
      <xdr:rowOff>44450</xdr:rowOff>
    </xdr:from>
    <xdr:to>
      <xdr:col>6</xdr:col>
      <xdr:colOff>952557</xdr:colOff>
      <xdr:row>112</xdr:row>
      <xdr:rowOff>82648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29300A3-50C9-4422-A721-E1D9DF2A9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416800" y="25584150"/>
          <a:ext cx="412807" cy="701773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</xdr:row>
      <xdr:rowOff>117474</xdr:rowOff>
    </xdr:from>
    <xdr:to>
      <xdr:col>1</xdr:col>
      <xdr:colOff>828675</xdr:colOff>
      <xdr:row>10</xdr:row>
      <xdr:rowOff>142471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57E158F-815F-4A23-9B29-C06FC58EC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6675" y="1374774"/>
          <a:ext cx="1149350" cy="771122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10</xdr:row>
      <xdr:rowOff>203199</xdr:rowOff>
    </xdr:from>
    <xdr:to>
      <xdr:col>1</xdr:col>
      <xdr:colOff>828189</xdr:colOff>
      <xdr:row>12</xdr:row>
      <xdr:rowOff>190500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E89D93C-F3DB-41CC-B4B7-A109A05F3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3501" y="2200274"/>
          <a:ext cx="1158388" cy="752476"/>
        </a:xfrm>
        <a:prstGeom prst="rect">
          <a:avLst/>
        </a:prstGeom>
      </xdr:spPr>
    </xdr:pic>
    <xdr:clientData/>
  </xdr:twoCellAnchor>
  <xdr:twoCellAnchor editAs="oneCell">
    <xdr:from>
      <xdr:col>2</xdr:col>
      <xdr:colOff>102821</xdr:colOff>
      <xdr:row>7</xdr:row>
      <xdr:rowOff>183513</xdr:rowOff>
    </xdr:from>
    <xdr:to>
      <xdr:col>2</xdr:col>
      <xdr:colOff>503549</xdr:colOff>
      <xdr:row>11</xdr:row>
      <xdr:rowOff>332326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E6DD2BF7-9B2C-4D7E-BD43-9C6074A0B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16610542">
          <a:off x="966966" y="1891118"/>
          <a:ext cx="1307688" cy="400728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1619250</xdr:colOff>
      <xdr:row>7</xdr:row>
      <xdr:rowOff>0</xdr:rowOff>
    </xdr:from>
    <xdr:to>
      <xdr:col>2</xdr:col>
      <xdr:colOff>2141256</xdr:colOff>
      <xdr:row>8</xdr:row>
      <xdr:rowOff>265738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5C7F3D5C-9B38-43A5-8111-A80FCFEA3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933700" y="1257300"/>
          <a:ext cx="525181" cy="494338"/>
        </a:xfrm>
        <a:prstGeom prst="rect">
          <a:avLst/>
        </a:prstGeom>
      </xdr:spPr>
    </xdr:pic>
    <xdr:clientData/>
  </xdr:twoCellAnchor>
  <xdr:twoCellAnchor editAs="oneCell">
    <xdr:from>
      <xdr:col>2</xdr:col>
      <xdr:colOff>987425</xdr:colOff>
      <xdr:row>10</xdr:row>
      <xdr:rowOff>206375</xdr:rowOff>
    </xdr:from>
    <xdr:to>
      <xdr:col>2</xdr:col>
      <xdr:colOff>1544542</xdr:colOff>
      <xdr:row>11</xdr:row>
      <xdr:rowOff>293470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91041110-826E-4B77-AED2-ACC32B92E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301875" y="2206625"/>
          <a:ext cx="557117" cy="499845"/>
        </a:xfrm>
        <a:prstGeom prst="rect">
          <a:avLst/>
        </a:prstGeom>
      </xdr:spPr>
    </xdr:pic>
    <xdr:clientData/>
  </xdr:twoCellAnchor>
  <xdr:twoCellAnchor editAs="oneCell">
    <xdr:from>
      <xdr:col>2</xdr:col>
      <xdr:colOff>3740150</xdr:colOff>
      <xdr:row>10</xdr:row>
      <xdr:rowOff>349250</xdr:rowOff>
    </xdr:from>
    <xdr:to>
      <xdr:col>5</xdr:col>
      <xdr:colOff>73185</xdr:colOff>
      <xdr:row>12</xdr:row>
      <xdr:rowOff>85794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818BAFE1-7796-476A-B65A-84AE6710F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057775" y="2352675"/>
          <a:ext cx="1139985" cy="492194"/>
        </a:xfrm>
        <a:prstGeom prst="rect">
          <a:avLst/>
        </a:prstGeom>
      </xdr:spPr>
    </xdr:pic>
    <xdr:clientData/>
  </xdr:twoCellAnchor>
  <xdr:twoCellAnchor editAs="oneCell">
    <xdr:from>
      <xdr:col>2</xdr:col>
      <xdr:colOff>1495425</xdr:colOff>
      <xdr:row>9</xdr:row>
      <xdr:rowOff>21700</xdr:rowOff>
    </xdr:from>
    <xdr:to>
      <xdr:col>2</xdr:col>
      <xdr:colOff>2730500</xdr:colOff>
      <xdr:row>12</xdr:row>
      <xdr:rowOff>120718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EF307B0B-1145-4864-B72E-05295100A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806700" y="1840975"/>
          <a:ext cx="1241425" cy="1045168"/>
        </a:xfrm>
        <a:prstGeom prst="rect">
          <a:avLst/>
        </a:prstGeom>
      </xdr:spPr>
    </xdr:pic>
    <xdr:clientData/>
  </xdr:twoCellAnchor>
  <xdr:twoCellAnchor editAs="oneCell">
    <xdr:from>
      <xdr:col>2</xdr:col>
      <xdr:colOff>2454276</xdr:colOff>
      <xdr:row>7</xdr:row>
      <xdr:rowOff>161925</xdr:rowOff>
    </xdr:from>
    <xdr:to>
      <xdr:col>2</xdr:col>
      <xdr:colOff>3811987</xdr:colOff>
      <xdr:row>11</xdr:row>
      <xdr:rowOff>285750</xdr:rowOff>
    </xdr:to>
    <xdr:pic>
      <xdr:nvPicPr>
        <xdr:cNvPr id="15" name="Imagine 23">
          <a:extLst>
            <a:ext uri="{FF2B5EF4-FFF2-40B4-BE49-F238E27FC236}">
              <a16:creationId xmlns:a16="http://schemas.microsoft.com/office/drawing/2014/main" id="{48CDB636-FA5B-4776-98A9-9C8ECB346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8726" y="1416050"/>
          <a:ext cx="1357711" cy="127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387350</xdr:colOff>
      <xdr:row>7</xdr:row>
      <xdr:rowOff>152400</xdr:rowOff>
    </xdr:from>
    <xdr:to>
      <xdr:col>10</xdr:col>
      <xdr:colOff>19050</xdr:colOff>
      <xdr:row>10</xdr:row>
      <xdr:rowOff>336352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B487753D-75C0-42E9-8A6A-B26E2C955D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6350" y="1409700"/>
          <a:ext cx="1228725" cy="923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457201</xdr:colOff>
      <xdr:row>7</xdr:row>
      <xdr:rowOff>171450</xdr:rowOff>
    </xdr:from>
    <xdr:to>
      <xdr:col>2</xdr:col>
      <xdr:colOff>1171279</xdr:colOff>
      <xdr:row>10</xdr:row>
      <xdr:rowOff>349250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2F36E863-8D95-4522-AA71-F9320D182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71651" y="1428750"/>
          <a:ext cx="717253" cy="9239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69697</xdr:colOff>
      <xdr:row>2</xdr:row>
      <xdr:rowOff>46464</xdr:rowOff>
    </xdr:from>
    <xdr:to>
      <xdr:col>5</xdr:col>
      <xdr:colOff>753970</xdr:colOff>
      <xdr:row>2</xdr:row>
      <xdr:rowOff>457672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6DC0C0-FB56-42BE-8F24-5F9B0030D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81222" y="668764"/>
          <a:ext cx="687448" cy="408033"/>
        </a:xfrm>
        <a:prstGeom prst="rect">
          <a:avLst/>
        </a:prstGeom>
      </xdr:spPr>
    </xdr:pic>
    <xdr:clientData/>
  </xdr:twoCellAnchor>
  <xdr:twoCellAnchor editAs="oneCell">
    <xdr:from>
      <xdr:col>16</xdr:col>
      <xdr:colOff>58079</xdr:colOff>
      <xdr:row>2</xdr:row>
      <xdr:rowOff>46462</xdr:rowOff>
    </xdr:from>
    <xdr:to>
      <xdr:col>16</xdr:col>
      <xdr:colOff>736414</xdr:colOff>
      <xdr:row>2</xdr:row>
      <xdr:rowOff>426167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AEBC0B0-1FE4-4BE3-BA95-5F856194E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26029" y="668762"/>
          <a:ext cx="678335" cy="376530"/>
        </a:xfrm>
        <a:prstGeom prst="rect">
          <a:avLst/>
        </a:prstGeom>
      </xdr:spPr>
    </xdr:pic>
    <xdr:clientData/>
  </xdr:twoCellAnchor>
  <xdr:twoCellAnchor editAs="oneCell">
    <xdr:from>
      <xdr:col>27</xdr:col>
      <xdr:colOff>72872</xdr:colOff>
      <xdr:row>2</xdr:row>
      <xdr:rowOff>60171</xdr:rowOff>
    </xdr:from>
    <xdr:to>
      <xdr:col>27</xdr:col>
      <xdr:colOff>713834</xdr:colOff>
      <xdr:row>2</xdr:row>
      <xdr:rowOff>458807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BF369DF-2E45-49CA-9D24-E121350E58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995622" y="679296"/>
          <a:ext cx="644137" cy="398636"/>
        </a:xfrm>
        <a:prstGeom prst="rect">
          <a:avLst/>
        </a:prstGeom>
      </xdr:spPr>
    </xdr:pic>
    <xdr:clientData/>
  </xdr:twoCellAnchor>
  <xdr:twoCellAnchor editAs="oneCell">
    <xdr:from>
      <xdr:col>0</xdr:col>
      <xdr:colOff>46463</xdr:colOff>
      <xdr:row>2</xdr:row>
      <xdr:rowOff>58079</xdr:rowOff>
    </xdr:from>
    <xdr:to>
      <xdr:col>0</xdr:col>
      <xdr:colOff>787587</xdr:colOff>
      <xdr:row>2</xdr:row>
      <xdr:rowOff>457274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576B4C1-551F-4BAC-8664-BE708A3AB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638" y="677204"/>
          <a:ext cx="737949" cy="399195"/>
        </a:xfrm>
        <a:prstGeom prst="rect">
          <a:avLst/>
        </a:prstGeom>
      </xdr:spPr>
    </xdr:pic>
    <xdr:clientData/>
  </xdr:twoCellAnchor>
  <xdr:twoCellAnchor editAs="oneCell">
    <xdr:from>
      <xdr:col>11</xdr:col>
      <xdr:colOff>64429</xdr:colOff>
      <xdr:row>2</xdr:row>
      <xdr:rowOff>58080</xdr:rowOff>
    </xdr:from>
    <xdr:to>
      <xdr:col>11</xdr:col>
      <xdr:colOff>778263</xdr:colOff>
      <xdr:row>2</xdr:row>
      <xdr:rowOff>457275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5784DB2-656D-4AAE-A361-325CA5657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11354" y="677205"/>
          <a:ext cx="710659" cy="399195"/>
        </a:xfrm>
        <a:prstGeom prst="rect">
          <a:avLst/>
        </a:prstGeom>
      </xdr:spPr>
    </xdr:pic>
    <xdr:clientData/>
  </xdr:twoCellAnchor>
  <xdr:twoCellAnchor editAs="oneCell">
    <xdr:from>
      <xdr:col>22</xdr:col>
      <xdr:colOff>58079</xdr:colOff>
      <xdr:row>2</xdr:row>
      <xdr:rowOff>49639</xdr:rowOff>
    </xdr:from>
    <xdr:to>
      <xdr:col>22</xdr:col>
      <xdr:colOff>697940</xdr:colOff>
      <xdr:row>2</xdr:row>
      <xdr:rowOff>448834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D97F8F6-0C74-4BE5-9DE3-32C26E678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869329" y="665589"/>
          <a:ext cx="639861" cy="402370"/>
        </a:xfrm>
        <a:prstGeom prst="rect">
          <a:avLst/>
        </a:prstGeom>
      </xdr:spPr>
    </xdr:pic>
    <xdr:clientData/>
  </xdr:twoCellAnchor>
  <xdr:twoCellAnchor editAs="oneCell">
    <xdr:from>
      <xdr:col>5</xdr:col>
      <xdr:colOff>69697</xdr:colOff>
      <xdr:row>2</xdr:row>
      <xdr:rowOff>46464</xdr:rowOff>
    </xdr:from>
    <xdr:to>
      <xdr:col>5</xdr:col>
      <xdr:colOff>753970</xdr:colOff>
      <xdr:row>2</xdr:row>
      <xdr:rowOff>457672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72477C02-6F63-4EC6-B861-2DCCFF7D7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81222" y="668764"/>
          <a:ext cx="687448" cy="408033"/>
        </a:xfrm>
        <a:prstGeom prst="rect">
          <a:avLst/>
        </a:prstGeom>
      </xdr:spPr>
    </xdr:pic>
    <xdr:clientData/>
  </xdr:twoCellAnchor>
  <xdr:twoCellAnchor editAs="oneCell">
    <xdr:from>
      <xdr:col>16</xdr:col>
      <xdr:colOff>58079</xdr:colOff>
      <xdr:row>2</xdr:row>
      <xdr:rowOff>46462</xdr:rowOff>
    </xdr:from>
    <xdr:to>
      <xdr:col>16</xdr:col>
      <xdr:colOff>736414</xdr:colOff>
      <xdr:row>2</xdr:row>
      <xdr:rowOff>426167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50CEFCE-5A86-41DF-91B2-8B92810D2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26029" y="668762"/>
          <a:ext cx="678335" cy="376530"/>
        </a:xfrm>
        <a:prstGeom prst="rect">
          <a:avLst/>
        </a:prstGeom>
      </xdr:spPr>
    </xdr:pic>
    <xdr:clientData/>
  </xdr:twoCellAnchor>
  <xdr:twoCellAnchor editAs="oneCell">
    <xdr:from>
      <xdr:col>27</xdr:col>
      <xdr:colOff>72872</xdr:colOff>
      <xdr:row>2</xdr:row>
      <xdr:rowOff>60171</xdr:rowOff>
    </xdr:from>
    <xdr:to>
      <xdr:col>27</xdr:col>
      <xdr:colOff>713834</xdr:colOff>
      <xdr:row>2</xdr:row>
      <xdr:rowOff>458807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FBCD9FE7-F952-4709-918F-5AA658D80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995622" y="679296"/>
          <a:ext cx="644137" cy="398636"/>
        </a:xfrm>
        <a:prstGeom prst="rect">
          <a:avLst/>
        </a:prstGeom>
      </xdr:spPr>
    </xdr:pic>
    <xdr:clientData/>
  </xdr:twoCellAnchor>
  <xdr:twoCellAnchor editAs="oneCell">
    <xdr:from>
      <xdr:col>0</xdr:col>
      <xdr:colOff>46463</xdr:colOff>
      <xdr:row>2</xdr:row>
      <xdr:rowOff>58079</xdr:rowOff>
    </xdr:from>
    <xdr:to>
      <xdr:col>0</xdr:col>
      <xdr:colOff>787587</xdr:colOff>
      <xdr:row>2</xdr:row>
      <xdr:rowOff>457274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41CE8F74-8C28-4B87-B716-0E9EF3CEC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638" y="677204"/>
          <a:ext cx="737949" cy="399195"/>
        </a:xfrm>
        <a:prstGeom prst="rect">
          <a:avLst/>
        </a:prstGeom>
      </xdr:spPr>
    </xdr:pic>
    <xdr:clientData/>
  </xdr:twoCellAnchor>
  <xdr:twoCellAnchor editAs="oneCell">
    <xdr:from>
      <xdr:col>11</xdr:col>
      <xdr:colOff>64429</xdr:colOff>
      <xdr:row>2</xdr:row>
      <xdr:rowOff>58080</xdr:rowOff>
    </xdr:from>
    <xdr:to>
      <xdr:col>11</xdr:col>
      <xdr:colOff>778263</xdr:colOff>
      <xdr:row>2</xdr:row>
      <xdr:rowOff>457275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AD9D8D86-8340-4D22-9D6A-F154F4364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11354" y="677205"/>
          <a:ext cx="710659" cy="399195"/>
        </a:xfrm>
        <a:prstGeom prst="rect">
          <a:avLst/>
        </a:prstGeom>
      </xdr:spPr>
    </xdr:pic>
    <xdr:clientData/>
  </xdr:twoCellAnchor>
  <xdr:twoCellAnchor editAs="oneCell">
    <xdr:from>
      <xdr:col>22</xdr:col>
      <xdr:colOff>58079</xdr:colOff>
      <xdr:row>2</xdr:row>
      <xdr:rowOff>49639</xdr:rowOff>
    </xdr:from>
    <xdr:to>
      <xdr:col>22</xdr:col>
      <xdr:colOff>697940</xdr:colOff>
      <xdr:row>2</xdr:row>
      <xdr:rowOff>448834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DFBCAD4-727F-4EB1-8EE1-323904238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869329" y="665589"/>
          <a:ext cx="639861" cy="40237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657224</xdr:colOff>
      <xdr:row>13</xdr:row>
      <xdr:rowOff>104775</xdr:rowOff>
    </xdr:from>
    <xdr:to>
      <xdr:col>2</xdr:col>
      <xdr:colOff>2038349</xdr:colOff>
      <xdr:row>17</xdr:row>
      <xdr:rowOff>30699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E44563-AF7A-4E49-A53A-A863FBFCFF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399" y="3114675"/>
          <a:ext cx="1381125" cy="1202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209549</xdr:colOff>
      <xdr:row>11</xdr:row>
      <xdr:rowOff>314323</xdr:rowOff>
    </xdr:from>
    <xdr:to>
      <xdr:col>6</xdr:col>
      <xdr:colOff>931443</xdr:colOff>
      <xdr:row>16</xdr:row>
      <xdr:rowOff>123824</xdr:rowOff>
    </xdr:to>
    <xdr:pic>
      <xdr:nvPicPr>
        <xdr:cNvPr id="4" name="Imagine 8">
          <a:extLst>
            <a:ext uri="{FF2B5EF4-FFF2-40B4-BE49-F238E27FC236}">
              <a16:creationId xmlns:a16="http://schemas.microsoft.com/office/drawing/2014/main" id="{BF7D9349-45F5-4021-A11D-7B37B93123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2649" y="2676523"/>
          <a:ext cx="1483894" cy="1524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657225</xdr:colOff>
      <xdr:row>11</xdr:row>
      <xdr:rowOff>209549</xdr:rowOff>
    </xdr:from>
    <xdr:to>
      <xdr:col>2</xdr:col>
      <xdr:colOff>1362075</xdr:colOff>
      <xdr:row>12</xdr:row>
      <xdr:rowOff>336348</xdr:rowOff>
    </xdr:to>
    <xdr:pic>
      <xdr:nvPicPr>
        <xdr:cNvPr id="5" name="Imagine 9">
          <a:extLst>
            <a:ext uri="{FF2B5EF4-FFF2-40B4-BE49-F238E27FC236}">
              <a16:creationId xmlns:a16="http://schemas.microsoft.com/office/drawing/2014/main" id="{E20B79CE-59D2-45D5-8FD9-3F4CEDA05F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2514599"/>
          <a:ext cx="704850" cy="472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95249</xdr:colOff>
      <xdr:row>13</xdr:row>
      <xdr:rowOff>66675</xdr:rowOff>
    </xdr:from>
    <xdr:to>
      <xdr:col>2</xdr:col>
      <xdr:colOff>584138</xdr:colOff>
      <xdr:row>16</xdr:row>
      <xdr:rowOff>152400</xdr:rowOff>
    </xdr:to>
    <xdr:pic>
      <xdr:nvPicPr>
        <xdr:cNvPr id="7" name="Picture 18">
          <a:extLst>
            <a:ext uri="{FF2B5EF4-FFF2-40B4-BE49-F238E27FC236}">
              <a16:creationId xmlns:a16="http://schemas.microsoft.com/office/drawing/2014/main" id="{75DCB5AB-8109-4E17-984A-57C3E820A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5249" y="3133725"/>
          <a:ext cx="1520764" cy="1095375"/>
        </a:xfrm>
        <a:prstGeom prst="rect">
          <a:avLst/>
        </a:prstGeom>
      </xdr:spPr>
    </xdr:pic>
    <xdr:clientData/>
  </xdr:twoCellAnchor>
  <xdr:twoCellAnchor editAs="oneCell">
    <xdr:from>
      <xdr:col>1</xdr:col>
      <xdr:colOff>117411</xdr:colOff>
      <xdr:row>11</xdr:row>
      <xdr:rowOff>209550</xdr:rowOff>
    </xdr:from>
    <xdr:to>
      <xdr:col>2</xdr:col>
      <xdr:colOff>65156</xdr:colOff>
      <xdr:row>12</xdr:row>
      <xdr:rowOff>333375</xdr:rowOff>
    </xdr:to>
    <xdr:pic>
      <xdr:nvPicPr>
        <xdr:cNvPr id="12" name="Imagine 11">
          <a:extLst>
            <a:ext uri="{FF2B5EF4-FFF2-40B4-BE49-F238E27FC236}">
              <a16:creationId xmlns:a16="http://schemas.microsoft.com/office/drawing/2014/main" id="{478447A6-9737-4048-B5A6-89E3D6F34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2211" y="2571750"/>
          <a:ext cx="681170" cy="476250"/>
        </a:xfrm>
        <a:prstGeom prst="rect">
          <a:avLst/>
        </a:prstGeom>
      </xdr:spPr>
    </xdr:pic>
    <xdr:clientData/>
  </xdr:twoCellAnchor>
  <xdr:twoCellAnchor editAs="oneCell">
    <xdr:from>
      <xdr:col>2</xdr:col>
      <xdr:colOff>3324225</xdr:colOff>
      <xdr:row>11</xdr:row>
      <xdr:rowOff>323850</xdr:rowOff>
    </xdr:from>
    <xdr:to>
      <xdr:col>5</xdr:col>
      <xdr:colOff>171450</xdr:colOff>
      <xdr:row>15</xdr:row>
      <xdr:rowOff>349704</xdr:rowOff>
    </xdr:to>
    <xdr:pic>
      <xdr:nvPicPr>
        <xdr:cNvPr id="20" name="Imagine 19">
          <a:extLst>
            <a:ext uri="{FF2B5EF4-FFF2-40B4-BE49-F238E27FC236}">
              <a16:creationId xmlns:a16="http://schemas.microsoft.com/office/drawing/2014/main" id="{81D3D069-8A0C-49C3-B9EE-BF3154339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343400" y="2628900"/>
          <a:ext cx="1552575" cy="1330779"/>
        </a:xfrm>
        <a:prstGeom prst="rect">
          <a:avLst/>
        </a:prstGeom>
      </xdr:spPr>
    </xdr:pic>
    <xdr:clientData/>
  </xdr:twoCellAnchor>
  <xdr:twoCellAnchor editAs="oneCell">
    <xdr:from>
      <xdr:col>2</xdr:col>
      <xdr:colOff>2076451</xdr:colOff>
      <xdr:row>11</xdr:row>
      <xdr:rowOff>257175</xdr:rowOff>
    </xdr:from>
    <xdr:to>
      <xdr:col>2</xdr:col>
      <xdr:colOff>3305175</xdr:colOff>
      <xdr:row>16</xdr:row>
      <xdr:rowOff>85725</xdr:rowOff>
    </xdr:to>
    <xdr:pic>
      <xdr:nvPicPr>
        <xdr:cNvPr id="21" name="Imagine 20">
          <a:extLst>
            <a:ext uri="{FF2B5EF4-FFF2-40B4-BE49-F238E27FC236}">
              <a16:creationId xmlns:a16="http://schemas.microsoft.com/office/drawing/2014/main" id="{7C9A2FB3-ECA2-45B6-9E10-4A70839F8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095626" y="2562225"/>
          <a:ext cx="1228724" cy="154305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1428750</xdr:colOff>
      <xdr:row>11</xdr:row>
      <xdr:rowOff>266701</xdr:rowOff>
    </xdr:from>
    <xdr:to>
      <xdr:col>2</xdr:col>
      <xdr:colOff>2105025</xdr:colOff>
      <xdr:row>13</xdr:row>
      <xdr:rowOff>12028</xdr:rowOff>
    </xdr:to>
    <xdr:pic>
      <xdr:nvPicPr>
        <xdr:cNvPr id="22" name="Imagine 21">
          <a:extLst>
            <a:ext uri="{FF2B5EF4-FFF2-40B4-BE49-F238E27FC236}">
              <a16:creationId xmlns:a16="http://schemas.microsoft.com/office/drawing/2014/main" id="{157795CD-0EBA-4C9E-930B-5DF13CD4C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447925" y="2571751"/>
          <a:ext cx="676275" cy="450177"/>
        </a:xfrm>
        <a:prstGeom prst="rect">
          <a:avLst/>
        </a:prstGeom>
      </xdr:spPr>
    </xdr:pic>
    <xdr:clientData/>
  </xdr:twoCellAnchor>
  <xdr:twoCellAnchor editAs="oneCell">
    <xdr:from>
      <xdr:col>2</xdr:col>
      <xdr:colOff>3634409</xdr:colOff>
      <xdr:row>61</xdr:row>
      <xdr:rowOff>233155</xdr:rowOff>
    </xdr:from>
    <xdr:to>
      <xdr:col>6</xdr:col>
      <xdr:colOff>887067</xdr:colOff>
      <xdr:row>65</xdr:row>
      <xdr:rowOff>103197</xdr:rowOff>
    </xdr:to>
    <xdr:pic>
      <xdr:nvPicPr>
        <xdr:cNvPr id="3" name="Imagine 2">
          <a:extLst>
            <a:ext uri="{FF2B5EF4-FFF2-40B4-BE49-F238E27FC236}">
              <a16:creationId xmlns:a16="http://schemas.microsoft.com/office/drawing/2014/main" id="{69403401-45A2-484E-94EA-8271C8346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678018" y="21105329"/>
          <a:ext cx="2718351" cy="754348"/>
        </a:xfrm>
        <a:prstGeom prst="rect">
          <a:avLst/>
        </a:prstGeom>
      </xdr:spPr>
    </xdr:pic>
    <xdr:clientData/>
  </xdr:twoCellAnchor>
  <xdr:twoCellAnchor editAs="oneCell">
    <xdr:from>
      <xdr:col>2</xdr:col>
      <xdr:colOff>3943350</xdr:colOff>
      <xdr:row>83</xdr:row>
      <xdr:rowOff>57150</xdr:rowOff>
    </xdr:from>
    <xdr:to>
      <xdr:col>6</xdr:col>
      <xdr:colOff>847725</xdr:colOff>
      <xdr:row>86</xdr:row>
      <xdr:rowOff>153411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DD391BF-DB89-457B-AE9E-8B8AABC97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029200" y="26165175"/>
          <a:ext cx="2635250" cy="76301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magnumheating.ro/" TargetMode="External"/><Relationship Id="rId1" Type="http://schemas.openxmlformats.org/officeDocument/2006/relationships/hyperlink" Target="https://www.magnumheating-romania.ro/" TargetMode="Externa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7" Type="http://schemas.openxmlformats.org/officeDocument/2006/relationships/comments" Target="../comments8.xml"/><Relationship Id="rId2" Type="http://schemas.openxmlformats.org/officeDocument/2006/relationships/hyperlink" Target="https://www.magnumheating-romania.ro/" TargetMode="External"/><Relationship Id="rId1" Type="http://schemas.openxmlformats.org/officeDocument/2006/relationships/hyperlink" Target="http://www.magnumheating.ro/" TargetMode="External"/><Relationship Id="rId6" Type="http://schemas.openxmlformats.org/officeDocument/2006/relationships/vmlDrawing" Target="../drawings/vmlDrawing18.vml"/><Relationship Id="rId5" Type="http://schemas.openxmlformats.org/officeDocument/2006/relationships/vmlDrawing" Target="../drawings/vmlDrawing17.vm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hyperlink" Target="https://www.magnumheating.com/" TargetMode="External"/><Relationship Id="rId1" Type="http://schemas.openxmlformats.org/officeDocument/2006/relationships/hyperlink" Target="http://www.magnumheating.ro/" TargetMode="External"/><Relationship Id="rId5" Type="http://schemas.openxmlformats.org/officeDocument/2006/relationships/vmlDrawing" Target="../drawings/vmlDrawing20.vml"/><Relationship Id="rId4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hyperlink" Target="https://www.magnumheating.com/" TargetMode="External"/><Relationship Id="rId1" Type="http://schemas.openxmlformats.org/officeDocument/2006/relationships/hyperlink" Target="http://www.magnumheating.ro/" TargetMode="External"/><Relationship Id="rId5" Type="http://schemas.openxmlformats.org/officeDocument/2006/relationships/vmlDrawing" Target="../drawings/vmlDrawing21.vml"/><Relationship Id="rId4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hyperlink" Target="https://www.magnumheating.com/" TargetMode="External"/><Relationship Id="rId1" Type="http://schemas.openxmlformats.org/officeDocument/2006/relationships/hyperlink" Target="http://www.magnumheating.ro/" TargetMode="External"/><Relationship Id="rId5" Type="http://schemas.openxmlformats.org/officeDocument/2006/relationships/vmlDrawing" Target="../drawings/vmlDrawing23.vml"/><Relationship Id="rId4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.bin"/><Relationship Id="rId2" Type="http://schemas.openxmlformats.org/officeDocument/2006/relationships/hyperlink" Target="https://www.magnumheating-romania.ro/" TargetMode="External"/><Relationship Id="rId1" Type="http://schemas.openxmlformats.org/officeDocument/2006/relationships/hyperlink" Target="http://www.magnumheating.ro/" TargetMode="External"/><Relationship Id="rId5" Type="http://schemas.openxmlformats.org/officeDocument/2006/relationships/vmlDrawing" Target="../drawings/vmlDrawing25.vml"/><Relationship Id="rId4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.bin"/><Relationship Id="rId2" Type="http://schemas.openxmlformats.org/officeDocument/2006/relationships/hyperlink" Target="https://www.magnumheating-romania.ro/" TargetMode="External"/><Relationship Id="rId1" Type="http://schemas.openxmlformats.org/officeDocument/2006/relationships/hyperlink" Target="http://www.magnumheating.ro/" TargetMode="External"/><Relationship Id="rId5" Type="http://schemas.openxmlformats.org/officeDocument/2006/relationships/vmlDrawing" Target="../drawings/vmlDrawing27.vml"/><Relationship Id="rId4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7" Type="http://schemas.openxmlformats.org/officeDocument/2006/relationships/comments" Target="../comments1.xml"/><Relationship Id="rId2" Type="http://schemas.openxmlformats.org/officeDocument/2006/relationships/hyperlink" Target="https://www.magnumheating-romania.ro/" TargetMode="External"/><Relationship Id="rId1" Type="http://schemas.openxmlformats.org/officeDocument/2006/relationships/hyperlink" Target="http://www.magnumheating.ro/" TargetMode="External"/><Relationship Id="rId6" Type="http://schemas.openxmlformats.org/officeDocument/2006/relationships/vmlDrawing" Target="../drawings/vmlDrawing3.vml"/><Relationship Id="rId5" Type="http://schemas.openxmlformats.org/officeDocument/2006/relationships/vmlDrawing" Target="../drawings/vmlDrawing2.v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7" Type="http://schemas.openxmlformats.org/officeDocument/2006/relationships/comments" Target="../comments2.xml"/><Relationship Id="rId2" Type="http://schemas.openxmlformats.org/officeDocument/2006/relationships/hyperlink" Target="https://www.magnumheating-romania.ro/" TargetMode="External"/><Relationship Id="rId1" Type="http://schemas.openxmlformats.org/officeDocument/2006/relationships/hyperlink" Target="http://www.magnumheating.ro/" TargetMode="External"/><Relationship Id="rId6" Type="http://schemas.openxmlformats.org/officeDocument/2006/relationships/vmlDrawing" Target="../drawings/vmlDrawing5.vml"/><Relationship Id="rId5" Type="http://schemas.openxmlformats.org/officeDocument/2006/relationships/vmlDrawing" Target="../drawings/vmlDrawing4.vm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mments" Target="../comments3.xml"/><Relationship Id="rId3" Type="http://schemas.openxmlformats.org/officeDocument/2006/relationships/hyperlink" Target="https://www.magnumheating-romania.ro/" TargetMode="External"/><Relationship Id="rId7" Type="http://schemas.openxmlformats.org/officeDocument/2006/relationships/vmlDrawing" Target="../drawings/vmlDrawing8.vml"/><Relationship Id="rId2" Type="http://schemas.openxmlformats.org/officeDocument/2006/relationships/hyperlink" Target="http://www.magnumheating.ro/" TargetMode="External"/><Relationship Id="rId1" Type="http://schemas.openxmlformats.org/officeDocument/2006/relationships/hyperlink" Target="mailto:mihail.macovei@magnumheating.ro" TargetMode="External"/><Relationship Id="rId6" Type="http://schemas.openxmlformats.org/officeDocument/2006/relationships/vmlDrawing" Target="../drawings/vmlDrawing7.vm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7" Type="http://schemas.openxmlformats.org/officeDocument/2006/relationships/comments" Target="../comments4.xml"/><Relationship Id="rId2" Type="http://schemas.openxmlformats.org/officeDocument/2006/relationships/hyperlink" Target="https://www.magnumheating-romania.ro/" TargetMode="External"/><Relationship Id="rId1" Type="http://schemas.openxmlformats.org/officeDocument/2006/relationships/hyperlink" Target="http://www.magnumheating.ro/" TargetMode="External"/><Relationship Id="rId6" Type="http://schemas.openxmlformats.org/officeDocument/2006/relationships/vmlDrawing" Target="../drawings/vmlDrawing10.vml"/><Relationship Id="rId5" Type="http://schemas.openxmlformats.org/officeDocument/2006/relationships/vmlDrawing" Target="../drawings/vmlDrawing9.vm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7" Type="http://schemas.openxmlformats.org/officeDocument/2006/relationships/comments" Target="../comments5.xml"/><Relationship Id="rId2" Type="http://schemas.openxmlformats.org/officeDocument/2006/relationships/hyperlink" Target="https://www.magnumheating-romania.ro/" TargetMode="External"/><Relationship Id="rId1" Type="http://schemas.openxmlformats.org/officeDocument/2006/relationships/hyperlink" Target="http://www.magnumheating.ro/" TargetMode="External"/><Relationship Id="rId6" Type="http://schemas.openxmlformats.org/officeDocument/2006/relationships/vmlDrawing" Target="../drawings/vmlDrawing12.vml"/><Relationship Id="rId5" Type="http://schemas.openxmlformats.org/officeDocument/2006/relationships/vmlDrawing" Target="../drawings/vmlDrawing11.vml"/><Relationship Id="rId4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comments" Target="../comments6.xml"/><Relationship Id="rId4" Type="http://schemas.openxmlformats.org/officeDocument/2006/relationships/vmlDrawing" Target="../drawings/vmlDrawing14.v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7" Type="http://schemas.openxmlformats.org/officeDocument/2006/relationships/comments" Target="../comments7.xml"/><Relationship Id="rId2" Type="http://schemas.openxmlformats.org/officeDocument/2006/relationships/hyperlink" Target="https://www.magnumheating-romania.ro/" TargetMode="External"/><Relationship Id="rId1" Type="http://schemas.openxmlformats.org/officeDocument/2006/relationships/hyperlink" Target="http://www.magnumheating.ro/" TargetMode="External"/><Relationship Id="rId6" Type="http://schemas.openxmlformats.org/officeDocument/2006/relationships/vmlDrawing" Target="../drawings/vmlDrawing16.vml"/><Relationship Id="rId5" Type="http://schemas.openxmlformats.org/officeDocument/2006/relationships/vmlDrawing" Target="../drawings/vmlDrawing15.vm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970968-5058-40FA-AC08-E3A82F7B1347}">
  <sheetPr>
    <tabColor rgb="FFFF66FF"/>
  </sheetPr>
  <dimension ref="A1:Z154"/>
  <sheetViews>
    <sheetView tabSelected="1" zoomScaleNormal="100" zoomScaleSheetLayoutView="100" workbookViewId="0">
      <selection activeCell="K67" sqref="K67"/>
    </sheetView>
  </sheetViews>
  <sheetFormatPr defaultRowHeight="14.4"/>
  <cols>
    <col min="1" max="1" width="4.5546875" customWidth="1"/>
    <col min="2" max="2" width="11" customWidth="1"/>
    <col min="3" max="3" width="58.44140625" customWidth="1"/>
    <col min="4" max="4" width="6.109375" customWidth="1"/>
    <col min="5" max="5" width="6" customWidth="1"/>
    <col min="6" max="6" width="11.44140625" customWidth="1"/>
    <col min="7" max="7" width="13.88671875" customWidth="1"/>
    <col min="8" max="8" width="7" style="244" customWidth="1"/>
    <col min="9" max="9" width="8.88671875" customWidth="1"/>
    <col min="10" max="10" width="18.109375" customWidth="1"/>
    <col min="15" max="15" width="10.5546875" customWidth="1"/>
    <col min="16" max="16" width="13.5546875" customWidth="1"/>
    <col min="17" max="17" width="16.109375" customWidth="1"/>
    <col min="18" max="18" width="8.5546875" customWidth="1"/>
    <col min="20" max="20" width="7.109375" customWidth="1"/>
    <col min="21" max="21" width="11.44140625" customWidth="1"/>
    <col min="22" max="22" width="13.5546875" customWidth="1"/>
    <col min="23" max="23" width="15.6640625" customWidth="1"/>
    <col min="24" max="24" width="14.109375" customWidth="1"/>
    <col min="25" max="25" width="14.88671875" customWidth="1"/>
  </cols>
  <sheetData>
    <row r="1" spans="1:17">
      <c r="A1" s="529" t="s">
        <v>598</v>
      </c>
      <c r="B1" s="530"/>
      <c r="C1" s="530"/>
    </row>
    <row r="2" spans="1:17">
      <c r="A2" s="1"/>
    </row>
    <row r="3" spans="1:17">
      <c r="A3" s="529" t="s">
        <v>168</v>
      </c>
      <c r="B3" s="529"/>
      <c r="C3" s="529"/>
      <c r="D3" s="529"/>
      <c r="E3" s="529"/>
      <c r="F3" s="529"/>
      <c r="G3" s="529"/>
      <c r="J3" t="str">
        <f>IF(AND(ISNUMBER(SEARCH("living",F3)),I3&gt;0),1,IF(AND(ISNUMBER(SEARCH("dining",F3)),I3&gt;0),1,IF(AND(ISNUMBER(SEARCH("bucatarie",F3)),I3&gt;0),1,IF(AND(ISNUMBER(SEARCH("dormitor",F3)),I3&gt;0),1,IF(AND(ISNUMBER(SEARCH("birou",F3)),I3&gt;0),1,IF(AND(ISNUMBER(SEARCH("baie",F3)),I3&gt;0),1,IF(AND(ISNUMBER(SEARCH("liv.+dining",F3)),I3&gt;0),1,IF(AND(ISNUMBER(SEARCH("camera",F3)),I3&gt;0),1,""))))))))</f>
        <v/>
      </c>
    </row>
    <row r="4" spans="1:17">
      <c r="A4" s="529" t="s">
        <v>431</v>
      </c>
      <c r="B4" s="529"/>
      <c r="C4" s="529"/>
      <c r="D4" s="529"/>
      <c r="E4" s="529"/>
      <c r="F4" s="529"/>
      <c r="G4" s="529"/>
      <c r="H4" s="245"/>
    </row>
    <row r="5" spans="1:17">
      <c r="A5" s="529" t="s">
        <v>91</v>
      </c>
      <c r="B5" s="529"/>
      <c r="C5" s="529"/>
      <c r="D5" s="529"/>
      <c r="E5" s="529"/>
      <c r="F5" s="529"/>
      <c r="G5" s="529"/>
    </row>
    <row r="6" spans="1:17">
      <c r="A6" s="529" t="s">
        <v>82</v>
      </c>
      <c r="B6" s="529"/>
      <c r="C6" s="529"/>
      <c r="D6" s="529"/>
      <c r="E6" s="529"/>
      <c r="F6" s="529"/>
      <c r="G6" s="529"/>
    </row>
    <row r="7" spans="1:17">
      <c r="A7" s="529" t="s">
        <v>595</v>
      </c>
      <c r="B7" s="529"/>
      <c r="C7" s="529"/>
      <c r="D7" s="529"/>
      <c r="E7" s="529"/>
      <c r="F7" s="529"/>
      <c r="G7" s="529"/>
    </row>
    <row r="9" spans="1:17" ht="18.75" customHeight="1">
      <c r="A9" s="545" t="s">
        <v>0</v>
      </c>
      <c r="B9" s="545"/>
      <c r="C9" s="545"/>
      <c r="D9" s="545"/>
      <c r="E9" s="545"/>
      <c r="F9" s="545"/>
      <c r="G9" s="545"/>
      <c r="H9" s="246"/>
      <c r="I9" s="4"/>
      <c r="J9" s="5"/>
      <c r="K9" s="5"/>
      <c r="L9" s="5"/>
      <c r="M9" s="5"/>
      <c r="N9" s="5"/>
      <c r="O9" s="5"/>
      <c r="P9" s="5"/>
      <c r="Q9" s="5"/>
    </row>
    <row r="10" spans="1:17" ht="17.25" customHeight="1">
      <c r="A10" s="524" t="s">
        <v>215</v>
      </c>
      <c r="B10" s="524"/>
      <c r="C10" s="524"/>
      <c r="D10" s="524"/>
      <c r="E10" s="524"/>
      <c r="F10" s="524"/>
      <c r="G10" s="524"/>
      <c r="H10" s="246"/>
      <c r="I10" s="4"/>
      <c r="J10" s="5"/>
      <c r="K10" s="5"/>
      <c r="L10" s="5"/>
      <c r="M10" s="5"/>
      <c r="N10" s="5"/>
      <c r="O10" s="5"/>
      <c r="P10" s="5"/>
      <c r="Q10" s="5"/>
    </row>
    <row r="11" spans="1:17" ht="15" customHeight="1">
      <c r="A11" s="524" t="s">
        <v>216</v>
      </c>
      <c r="B11" s="528"/>
      <c r="C11" s="528"/>
      <c r="D11" s="205">
        <f>'Calcul SF,HB,HB+SF '!B24</f>
        <v>0</v>
      </c>
      <c r="E11" s="206" t="s">
        <v>217</v>
      </c>
      <c r="F11" s="4"/>
      <c r="G11" s="4"/>
      <c r="H11" s="246"/>
      <c r="I11" s="4"/>
      <c r="J11" s="5"/>
      <c r="K11" s="5"/>
      <c r="L11" s="5"/>
      <c r="M11" s="5"/>
      <c r="N11" s="5"/>
      <c r="O11" s="5"/>
      <c r="P11" s="5"/>
      <c r="Q11" s="5"/>
    </row>
    <row r="12" spans="1:17" ht="27.9" customHeight="1">
      <c r="A12" s="4"/>
      <c r="B12" s="4"/>
      <c r="C12" s="4"/>
      <c r="D12" s="4"/>
      <c r="E12" s="4"/>
      <c r="F12" s="4"/>
      <c r="G12" s="4"/>
      <c r="H12" s="246"/>
      <c r="I12" s="4"/>
      <c r="J12" s="5"/>
      <c r="K12" s="5"/>
      <c r="L12" s="5"/>
      <c r="M12" s="5"/>
      <c r="N12" s="5"/>
      <c r="O12" s="5"/>
      <c r="P12" s="5"/>
      <c r="Q12" s="5"/>
    </row>
    <row r="13" spans="1:17" ht="27.9" customHeight="1">
      <c r="A13" s="4"/>
      <c r="B13" s="4"/>
      <c r="C13" s="4"/>
      <c r="D13" s="4"/>
      <c r="E13" s="4"/>
      <c r="F13" s="4"/>
      <c r="G13" s="4"/>
      <c r="H13" s="246"/>
      <c r="I13" s="4"/>
      <c r="J13" s="5"/>
      <c r="K13" s="5"/>
      <c r="L13" s="5"/>
      <c r="M13" s="5"/>
      <c r="N13" s="5"/>
      <c r="O13" s="5"/>
      <c r="P13" s="5"/>
      <c r="Q13" s="5"/>
    </row>
    <row r="14" spans="1:17">
      <c r="A14" s="4"/>
      <c r="B14" s="4"/>
      <c r="C14" s="4"/>
      <c r="D14" s="4"/>
      <c r="E14" s="4"/>
      <c r="F14" s="4"/>
      <c r="G14" s="4"/>
      <c r="H14" s="246"/>
      <c r="I14" s="4"/>
      <c r="J14" s="5"/>
      <c r="K14" s="5"/>
      <c r="L14" s="5"/>
      <c r="M14" s="5"/>
      <c r="N14" s="5"/>
      <c r="O14" s="5"/>
      <c r="P14" s="5"/>
      <c r="Q14" s="5"/>
    </row>
    <row r="15" spans="1:17" ht="32.25" customHeight="1">
      <c r="A15" s="4"/>
      <c r="B15" s="4"/>
      <c r="C15" s="4"/>
      <c r="D15" s="4"/>
      <c r="E15" s="4"/>
      <c r="F15" s="4"/>
      <c r="G15" s="4"/>
      <c r="H15" s="246"/>
      <c r="I15" s="4"/>
      <c r="J15" s="5"/>
      <c r="K15" s="5"/>
      <c r="L15" s="5"/>
      <c r="M15" s="5"/>
      <c r="N15" s="5"/>
      <c r="O15" s="5"/>
      <c r="P15" s="5"/>
      <c r="Q15" s="5"/>
    </row>
    <row r="16" spans="1:17" ht="32.25" customHeight="1">
      <c r="A16" s="4"/>
      <c r="B16" s="4"/>
      <c r="C16" s="4"/>
      <c r="D16" s="4"/>
      <c r="E16" s="4"/>
      <c r="F16" s="4"/>
      <c r="G16" s="4"/>
      <c r="H16" s="246"/>
      <c r="I16" s="4"/>
      <c r="J16" s="5"/>
      <c r="K16" s="5"/>
      <c r="L16" s="5"/>
      <c r="M16" s="5"/>
      <c r="N16" s="5"/>
      <c r="O16" s="5"/>
      <c r="P16" s="5"/>
      <c r="Q16" s="5"/>
    </row>
    <row r="17" spans="1:21" ht="21" customHeight="1">
      <c r="A17" s="4"/>
      <c r="B17" s="4"/>
      <c r="C17" s="4"/>
      <c r="D17" s="4"/>
      <c r="E17" s="4"/>
      <c r="F17" s="4"/>
      <c r="G17" s="4"/>
      <c r="H17" s="246"/>
      <c r="I17" s="4"/>
      <c r="J17" s="5"/>
      <c r="K17" s="5"/>
      <c r="L17" s="5"/>
      <c r="M17" s="5"/>
      <c r="N17" s="5"/>
      <c r="O17" s="5"/>
      <c r="P17" s="5"/>
      <c r="Q17" s="5"/>
    </row>
    <row r="18" spans="1:21" ht="21" customHeight="1">
      <c r="A18" s="520" t="s">
        <v>140</v>
      </c>
      <c r="B18" s="521"/>
      <c r="C18" s="521"/>
      <c r="D18" s="521"/>
      <c r="E18" s="521"/>
      <c r="F18" s="521"/>
      <c r="G18" s="521"/>
      <c r="H18" s="246"/>
      <c r="I18" s="4"/>
      <c r="J18" s="5"/>
      <c r="K18" s="5"/>
      <c r="L18" s="5"/>
      <c r="M18" s="5"/>
      <c r="N18" s="5"/>
      <c r="O18" s="5"/>
      <c r="P18" s="5"/>
      <c r="Q18" s="5"/>
    </row>
    <row r="19" spans="1:21" ht="16.5" customHeight="1" thickBot="1">
      <c r="A19" s="525"/>
      <c r="B19" s="526"/>
      <c r="C19" s="526"/>
      <c r="D19" s="526"/>
      <c r="E19" s="526"/>
      <c r="F19" s="526"/>
      <c r="G19" s="526"/>
      <c r="H19" s="247"/>
      <c r="I19" s="5"/>
      <c r="J19" s="5"/>
      <c r="K19" s="5"/>
      <c r="L19" s="5"/>
      <c r="M19" s="5"/>
      <c r="N19" s="5"/>
      <c r="O19" s="5"/>
      <c r="P19" s="5"/>
      <c r="Q19" s="5"/>
    </row>
    <row r="20" spans="1:21" ht="18.75" customHeight="1" thickTop="1">
      <c r="A20" s="6" t="s">
        <v>1</v>
      </c>
      <c r="B20" s="518" t="s">
        <v>3</v>
      </c>
      <c r="C20" s="518" t="s">
        <v>4</v>
      </c>
      <c r="D20" s="518" t="s">
        <v>5</v>
      </c>
      <c r="E20" s="518" t="s">
        <v>6</v>
      </c>
      <c r="F20" s="7" t="s">
        <v>7</v>
      </c>
      <c r="G20" s="8" t="s">
        <v>9</v>
      </c>
      <c r="H20" s="247"/>
      <c r="I20" s="5"/>
      <c r="J20" s="5"/>
      <c r="K20" s="5"/>
      <c r="L20" s="5"/>
      <c r="M20" s="5"/>
      <c r="N20" s="5"/>
      <c r="O20" s="5"/>
      <c r="P20" s="5"/>
      <c r="Q20" s="5"/>
    </row>
    <row r="21" spans="1:21" ht="26.25" customHeight="1" thickBot="1">
      <c r="A21" s="17" t="s">
        <v>2</v>
      </c>
      <c r="B21" s="527"/>
      <c r="C21" s="527"/>
      <c r="D21" s="527"/>
      <c r="E21" s="527"/>
      <c r="F21" s="18" t="s">
        <v>8</v>
      </c>
      <c r="G21" s="19" t="s">
        <v>8</v>
      </c>
      <c r="H21" s="247"/>
      <c r="I21" s="5"/>
      <c r="J21" s="5"/>
      <c r="K21" s="5"/>
      <c r="L21" s="5"/>
      <c r="M21" s="5"/>
      <c r="N21" s="5"/>
      <c r="O21" s="5"/>
      <c r="P21" s="5"/>
      <c r="Q21" s="5"/>
    </row>
    <row r="22" spans="1:21" ht="20.100000000000001" customHeight="1" thickTop="1" thickBot="1">
      <c r="A22" s="534" t="s">
        <v>218</v>
      </c>
      <c r="B22" s="535"/>
      <c r="C22" s="535"/>
      <c r="D22" s="535"/>
      <c r="E22" s="535"/>
      <c r="F22" s="535"/>
      <c r="G22" s="145"/>
      <c r="H22" s="248">
        <f>SUM(H23:H28)</f>
        <v>0</v>
      </c>
      <c r="I22" s="5"/>
      <c r="P22" s="46"/>
      <c r="Q22" s="536"/>
      <c r="R22" s="536"/>
      <c r="S22" s="536"/>
      <c r="T22" s="536"/>
      <c r="U22" s="536"/>
    </row>
    <row r="23" spans="1:21" ht="27.9" customHeight="1" thickTop="1" thickBot="1">
      <c r="A23" s="266" t="s">
        <v>184</v>
      </c>
      <c r="B23" s="271" t="s">
        <v>87</v>
      </c>
      <c r="C23" s="269" t="s">
        <v>96</v>
      </c>
      <c r="D23" s="271" t="s">
        <v>13</v>
      </c>
      <c r="E23" s="271"/>
      <c r="F23" s="289">
        <v>40</v>
      </c>
      <c r="G23" s="270">
        <f>E23*F23</f>
        <v>0</v>
      </c>
      <c r="H23" s="248">
        <f t="shared" ref="H23:H59" si="0">E23</f>
        <v>0</v>
      </c>
      <c r="I23" s="5"/>
      <c r="P23" s="192"/>
      <c r="Q23" s="46"/>
      <c r="R23" s="46"/>
      <c r="S23" s="46"/>
      <c r="T23" s="46"/>
      <c r="U23" s="46"/>
    </row>
    <row r="24" spans="1:21" ht="27.9" customHeight="1" thickBot="1">
      <c r="A24" s="12"/>
      <c r="B24" s="2" t="s">
        <v>12</v>
      </c>
      <c r="C24" s="13" t="s">
        <v>97</v>
      </c>
      <c r="D24" s="2" t="s">
        <v>13</v>
      </c>
      <c r="E24" s="108">
        <f>'Calcul SF,HB,HB+SF '!F24</f>
        <v>0</v>
      </c>
      <c r="F24" s="290">
        <v>62</v>
      </c>
      <c r="G24" s="33">
        <f t="shared" ref="G24:G66" si="1">E24*F24</f>
        <v>0</v>
      </c>
      <c r="H24" s="248">
        <f t="shared" si="0"/>
        <v>0</v>
      </c>
      <c r="I24" s="5"/>
      <c r="P24" s="46"/>
      <c r="Q24" s="46"/>
      <c r="R24" s="46"/>
      <c r="S24" s="46"/>
      <c r="T24" s="46"/>
      <c r="U24" s="46"/>
    </row>
    <row r="25" spans="1:21" ht="27.9" customHeight="1" thickBot="1">
      <c r="A25" s="12"/>
      <c r="B25" s="2">
        <v>630112</v>
      </c>
      <c r="C25" s="13" t="s">
        <v>99</v>
      </c>
      <c r="D25" s="2" t="s">
        <v>13</v>
      </c>
      <c r="E25" s="2"/>
      <c r="F25" s="290">
        <v>81</v>
      </c>
      <c r="G25" s="33">
        <f t="shared" si="1"/>
        <v>0</v>
      </c>
      <c r="H25" s="248">
        <f t="shared" si="0"/>
        <v>0</v>
      </c>
      <c r="I25" s="5"/>
      <c r="P25" s="46"/>
      <c r="Q25" s="46"/>
      <c r="R25" s="46"/>
      <c r="S25" s="46"/>
      <c r="T25" s="46"/>
      <c r="U25" s="46"/>
    </row>
    <row r="26" spans="1:21" ht="27.9" customHeight="1" thickBot="1">
      <c r="A26" s="12"/>
      <c r="B26" s="2">
        <v>630113</v>
      </c>
      <c r="C26" s="13" t="s">
        <v>98</v>
      </c>
      <c r="D26" s="2" t="s">
        <v>13</v>
      </c>
      <c r="E26" s="2"/>
      <c r="F26" s="290">
        <v>123</v>
      </c>
      <c r="G26" s="33">
        <f t="shared" si="1"/>
        <v>0</v>
      </c>
      <c r="H26" s="248">
        <f t="shared" si="0"/>
        <v>0</v>
      </c>
      <c r="I26" s="5"/>
      <c r="P26" s="5"/>
      <c r="Q26" s="5"/>
      <c r="R26" s="5"/>
      <c r="S26" s="5"/>
      <c r="T26" s="5"/>
      <c r="U26" s="5"/>
    </row>
    <row r="27" spans="1:21" ht="18" customHeight="1" thickBot="1">
      <c r="A27" s="12"/>
      <c r="B27" s="2">
        <v>92252</v>
      </c>
      <c r="C27" s="13" t="s">
        <v>100</v>
      </c>
      <c r="D27" s="3" t="s">
        <v>14</v>
      </c>
      <c r="E27" s="2"/>
      <c r="F27" s="290">
        <v>71</v>
      </c>
      <c r="G27" s="33">
        <f t="shared" si="1"/>
        <v>0</v>
      </c>
      <c r="H27" s="248">
        <f t="shared" si="0"/>
        <v>0</v>
      </c>
      <c r="I27" s="5"/>
      <c r="L27" s="5"/>
      <c r="M27" s="5"/>
      <c r="N27" s="5"/>
      <c r="O27" s="5"/>
      <c r="P27" s="5"/>
      <c r="Q27" s="5"/>
    </row>
    <row r="28" spans="1:21" ht="20.55" customHeight="1" thickBot="1">
      <c r="A28" s="161"/>
      <c r="B28" s="272" t="s">
        <v>132</v>
      </c>
      <c r="C28" s="163" t="s">
        <v>133</v>
      </c>
      <c r="D28" s="162" t="s">
        <v>11</v>
      </c>
      <c r="E28" s="272"/>
      <c r="F28" s="291">
        <v>10</v>
      </c>
      <c r="G28" s="164">
        <f t="shared" si="1"/>
        <v>0</v>
      </c>
      <c r="H28" s="248">
        <f t="shared" si="0"/>
        <v>0</v>
      </c>
      <c r="I28" s="5"/>
      <c r="L28" s="5"/>
      <c r="M28" s="5"/>
      <c r="N28" s="5"/>
      <c r="O28" s="5"/>
      <c r="P28" s="5"/>
      <c r="Q28" s="5"/>
    </row>
    <row r="29" spans="1:21" ht="20.100000000000001" customHeight="1" thickTop="1" thickBot="1">
      <c r="A29" s="542" t="s">
        <v>16</v>
      </c>
      <c r="B29" s="543"/>
      <c r="C29" s="543"/>
      <c r="D29" s="543"/>
      <c r="E29" s="515"/>
      <c r="F29" s="516"/>
      <c r="G29" s="517"/>
      <c r="H29" s="248">
        <f>SUM(H30:H66)</f>
        <v>0</v>
      </c>
      <c r="I29" s="5"/>
      <c r="L29" s="5"/>
      <c r="M29" s="5" t="s">
        <v>85</v>
      </c>
      <c r="N29" s="5"/>
      <c r="O29" s="5"/>
      <c r="P29" s="5"/>
      <c r="Q29" s="5"/>
    </row>
    <row r="30" spans="1:21" ht="18" customHeight="1" thickTop="1" thickBot="1">
      <c r="A30" s="266"/>
      <c r="B30" s="320" t="s">
        <v>109</v>
      </c>
      <c r="C30" s="321" t="s">
        <v>110</v>
      </c>
      <c r="D30" s="322" t="s">
        <v>14</v>
      </c>
      <c r="E30" s="320">
        <f>'Calcul SF,HB,HB+SF '!G24</f>
        <v>0</v>
      </c>
      <c r="F30" s="289">
        <v>10.5</v>
      </c>
      <c r="G30" s="323">
        <f>E30*F30</f>
        <v>0</v>
      </c>
      <c r="H30" s="248">
        <f t="shared" si="0"/>
        <v>0</v>
      </c>
      <c r="I30" s="5"/>
      <c r="L30" s="5"/>
      <c r="M30" s="5"/>
      <c r="N30" s="5"/>
      <c r="O30" s="5"/>
      <c r="P30" s="5"/>
      <c r="Q30" s="5"/>
    </row>
    <row r="31" spans="1:21" ht="18" customHeight="1" thickBot="1">
      <c r="A31" s="324"/>
      <c r="B31" s="20" t="s">
        <v>415</v>
      </c>
      <c r="C31" s="318" t="s">
        <v>416</v>
      </c>
      <c r="D31" s="319" t="s">
        <v>14</v>
      </c>
      <c r="E31" s="20"/>
      <c r="F31" s="290">
        <v>10</v>
      </c>
      <c r="G31" s="325">
        <f>E31*F31</f>
        <v>0</v>
      </c>
      <c r="H31" s="248">
        <f>E31</f>
        <v>0</v>
      </c>
      <c r="I31" s="5"/>
      <c r="L31" s="5"/>
      <c r="M31" s="5"/>
      <c r="N31" s="5"/>
      <c r="O31" s="5"/>
      <c r="P31" s="5"/>
      <c r="Q31" s="5"/>
    </row>
    <row r="32" spans="1:21" ht="18" customHeight="1" thickBot="1">
      <c r="A32" s="324"/>
      <c r="B32" s="20" t="s">
        <v>414</v>
      </c>
      <c r="C32" s="318" t="s">
        <v>417</v>
      </c>
      <c r="D32" s="319" t="s">
        <v>14</v>
      </c>
      <c r="E32" s="20"/>
      <c r="F32" s="290">
        <v>6</v>
      </c>
      <c r="G32" s="325">
        <f>E32*F32</f>
        <v>0</v>
      </c>
      <c r="H32" s="248">
        <f>E32</f>
        <v>0</v>
      </c>
      <c r="I32" s="5"/>
      <c r="L32" s="5"/>
      <c r="M32" s="5"/>
      <c r="N32" s="5"/>
      <c r="O32" s="5"/>
      <c r="P32" s="5"/>
      <c r="Q32" s="5"/>
    </row>
    <row r="33" spans="1:17" ht="18" customHeight="1" thickBot="1">
      <c r="A33" s="12"/>
      <c r="B33" s="2" t="s">
        <v>111</v>
      </c>
      <c r="C33" s="13" t="s">
        <v>161</v>
      </c>
      <c r="D33" s="3" t="s">
        <v>11</v>
      </c>
      <c r="E33" s="2"/>
      <c r="F33" s="290">
        <v>165</v>
      </c>
      <c r="G33" s="33">
        <f>E33*F33</f>
        <v>0</v>
      </c>
      <c r="H33" s="248">
        <f t="shared" si="0"/>
        <v>0</v>
      </c>
      <c r="I33" s="5"/>
      <c r="L33" s="5"/>
      <c r="M33" s="5"/>
      <c r="N33" s="5"/>
      <c r="O33" s="5"/>
      <c r="P33" s="5"/>
      <c r="Q33" s="5"/>
    </row>
    <row r="34" spans="1:17" ht="18" customHeight="1" thickBot="1">
      <c r="A34" s="12"/>
      <c r="B34" s="29" t="s">
        <v>115</v>
      </c>
      <c r="C34" s="31" t="s">
        <v>117</v>
      </c>
      <c r="D34" s="30" t="s">
        <v>11</v>
      </c>
      <c r="E34" s="30"/>
      <c r="F34" s="290">
        <v>21</v>
      </c>
      <c r="G34" s="33">
        <f>E34*F34</f>
        <v>0</v>
      </c>
      <c r="H34" s="248">
        <f t="shared" si="0"/>
        <v>0</v>
      </c>
      <c r="I34" s="5"/>
      <c r="L34" s="5"/>
      <c r="M34" s="5"/>
      <c r="N34" s="5"/>
      <c r="O34" s="5"/>
      <c r="P34" s="5"/>
      <c r="Q34" s="5"/>
    </row>
    <row r="35" spans="1:17" ht="18" customHeight="1" thickBot="1">
      <c r="A35" s="27"/>
      <c r="B35" s="20" t="s">
        <v>61</v>
      </c>
      <c r="C35" s="13" t="s">
        <v>63</v>
      </c>
      <c r="D35" s="28" t="s">
        <v>11</v>
      </c>
      <c r="E35" s="20"/>
      <c r="F35" s="290">
        <v>39</v>
      </c>
      <c r="G35" s="33">
        <f t="shared" si="1"/>
        <v>0</v>
      </c>
      <c r="H35" s="248">
        <f t="shared" si="0"/>
        <v>0</v>
      </c>
      <c r="I35" s="5"/>
      <c r="L35" s="5"/>
      <c r="M35" s="5"/>
      <c r="N35" s="5"/>
      <c r="O35" s="5"/>
      <c r="P35" s="5"/>
      <c r="Q35" s="5"/>
    </row>
    <row r="36" spans="1:17" ht="18" customHeight="1" thickBot="1">
      <c r="A36" s="27"/>
      <c r="B36" s="20" t="s">
        <v>62</v>
      </c>
      <c r="C36" s="13" t="s">
        <v>75</v>
      </c>
      <c r="D36" s="28" t="s">
        <v>11</v>
      </c>
      <c r="E36" s="20"/>
      <c r="F36" s="290">
        <v>116</v>
      </c>
      <c r="G36" s="33">
        <f t="shared" si="1"/>
        <v>0</v>
      </c>
      <c r="H36" s="248">
        <f t="shared" si="0"/>
        <v>0</v>
      </c>
      <c r="I36" s="5"/>
      <c r="L36" s="5"/>
      <c r="M36" s="5"/>
      <c r="N36" s="5"/>
      <c r="O36" s="5"/>
      <c r="P36" s="5"/>
      <c r="Q36" s="5"/>
    </row>
    <row r="37" spans="1:17" ht="18" customHeight="1" thickBot="1">
      <c r="A37" s="12"/>
      <c r="B37" s="2" t="s">
        <v>17</v>
      </c>
      <c r="C37" s="13" t="s">
        <v>18</v>
      </c>
      <c r="D37" s="28" t="s">
        <v>11</v>
      </c>
      <c r="E37" s="20">
        <f>IF('Calcul SF,HB,HB+SF '!$C$24&gt;=300,MIN(MOD('Calcul SF,HB,HB+SF '!$C$24,300)/100,INT('Calcul SF,HB,HB+SF '!$C$24/100)),IF('Calcul SF,HB,HB+SF '!$C$24&gt;=100,INT('Calcul SF,HB,HB+SF '!$C$24/100),0))</f>
        <v>0</v>
      </c>
      <c r="F37" s="290">
        <v>52</v>
      </c>
      <c r="G37" s="33">
        <f t="shared" si="1"/>
        <v>0</v>
      </c>
      <c r="H37" s="248">
        <f t="shared" si="0"/>
        <v>0</v>
      </c>
      <c r="I37" s="5"/>
      <c r="L37" s="5"/>
      <c r="M37" s="5"/>
      <c r="N37" s="5"/>
      <c r="O37" s="5"/>
      <c r="P37" s="5"/>
      <c r="Q37" s="5"/>
    </row>
    <row r="38" spans="1:17" ht="18" customHeight="1" thickBot="1">
      <c r="A38" s="12"/>
      <c r="B38" s="2" t="s">
        <v>19</v>
      </c>
      <c r="C38" s="13" t="s">
        <v>20</v>
      </c>
      <c r="D38" s="28" t="s">
        <v>11</v>
      </c>
      <c r="E38" s="20">
        <f>IF('Calcul SF,HB,HB+SF '!$C$24&gt;=300,INT('Calcul SF,HB,HB+SF '!$C$24/300),0)</f>
        <v>0</v>
      </c>
      <c r="F38" s="290">
        <v>153</v>
      </c>
      <c r="G38" s="33">
        <f t="shared" si="1"/>
        <v>0</v>
      </c>
      <c r="H38" s="248">
        <f t="shared" si="0"/>
        <v>0</v>
      </c>
      <c r="I38" s="5"/>
      <c r="L38" s="5"/>
      <c r="M38" s="5"/>
      <c r="N38" s="5"/>
      <c r="O38" s="5"/>
      <c r="P38" s="5"/>
      <c r="Q38" s="5"/>
    </row>
    <row r="39" spans="1:17" ht="50.1" customHeight="1" thickBot="1">
      <c r="A39" s="12"/>
      <c r="B39" s="2" t="s">
        <v>35</v>
      </c>
      <c r="C39" s="13" t="s">
        <v>118</v>
      </c>
      <c r="D39" s="2" t="s">
        <v>11</v>
      </c>
      <c r="E39" s="2">
        <f>IF(AND('Calcul SF,HB,HB+SF '!$J$24=2, 'Calcul SF,HB,HB+SF '!$U$24=2, 'Calcul SF,HB,HB+SF '!$AF$24=2), 3,
IF(OR(AND('Calcul SF,HB,HB+SF '!$J$24=2, 'Calcul SF,HB,HB+SF '!$U$24=2),
      AND('Calcul SF,HB,HB+SF '!$J$24=2, 'Calcul SF,HB,HB+SF '!$AF$24=2),
      AND('Calcul SF,HB,HB+SF '!$U$24=2, 'Calcul SF,HB,HB+SF '!$AF$24=2)), 2,
IF(OR('Calcul SF,HB,HB+SF '!$J$24=2, 'Calcul SF,HB,HB+SF '!$U$24=2, 'Calcul SF,HB,HB+SF '!$AF$24=2), 1, 0)))</f>
        <v>0</v>
      </c>
      <c r="F39" s="290">
        <v>104</v>
      </c>
      <c r="G39" s="33">
        <f t="shared" si="1"/>
        <v>0</v>
      </c>
      <c r="H39" s="248">
        <f t="shared" si="0"/>
        <v>0</v>
      </c>
      <c r="I39" s="5"/>
      <c r="L39" s="5"/>
      <c r="M39" s="5"/>
      <c r="N39" s="5"/>
      <c r="O39" s="5"/>
      <c r="P39" s="5"/>
      <c r="Q39" s="5"/>
    </row>
    <row r="40" spans="1:17" ht="50.1" customHeight="1" thickBot="1">
      <c r="A40" s="12"/>
      <c r="B40" s="2" t="s">
        <v>36</v>
      </c>
      <c r="C40" s="13" t="s">
        <v>119</v>
      </c>
      <c r="D40" s="2" t="s">
        <v>11</v>
      </c>
      <c r="E40" s="2">
        <f>IF(AND('Calcul SF,HB,HB+SF '!$J$24=3, 'Calcul SF,HB,HB+SF '!$U$24=3, 'Calcul SF,HB,HB+SF '!$AF$24=3), 3,
IF(OR(AND('Calcul SF,HB,HB+SF '!$J$24=3, 'Calcul SF,HB,HB+SF '!$U$24=3),
      AND('Calcul SF,HB,HB+SF '!$J$24=3, 'Calcul SF,HB,HB+SF '!$AF$24=3),
      AND('Calcul SF,HB,HB+SF '!$U$24=3, 'Calcul SF,HB,HB+SF '!$AF$24=3)), 2,
IF(OR('Calcul SF,HB,HB+SF '!$J$24=3, 'Calcul SF,HB,HB+SF '!$U$24=3, 'Calcul SF,HB,HB+SF '!$AF$24=3), 1, 0)))</f>
        <v>0</v>
      </c>
      <c r="F40" s="290">
        <v>120</v>
      </c>
      <c r="G40" s="33">
        <f t="shared" si="1"/>
        <v>0</v>
      </c>
      <c r="H40" s="248">
        <f t="shared" si="0"/>
        <v>0</v>
      </c>
      <c r="I40" s="5"/>
      <c r="L40" s="5"/>
      <c r="M40" s="5"/>
      <c r="N40" s="5"/>
      <c r="O40" s="5"/>
      <c r="P40" s="5"/>
      <c r="Q40" s="5"/>
    </row>
    <row r="41" spans="1:17" ht="50.1" customHeight="1" thickBot="1">
      <c r="A41" s="12"/>
      <c r="B41" s="2" t="s">
        <v>37</v>
      </c>
      <c r="C41" s="13" t="s">
        <v>120</v>
      </c>
      <c r="D41" s="2" t="s">
        <v>11</v>
      </c>
      <c r="E41" s="2">
        <f>IF(AND('Calcul SF,HB,HB+SF '!$J$24=4, 'Calcul SF,HB,HB+SF '!$U$24=4, 'Calcul SF,HB,HB+SF '!$AF$24=4), 3,
IF(OR(AND('Calcul SF,HB,HB+SF '!$J$24=4, 'Calcul SF,HB,HB+SF '!$U$24=4),
      AND('Calcul SF,HB,HB+SF '!$J$24=4, 'Calcul SF,HB,HB+SF '!$AF$24=4),
      AND('Calcul SF,HB,HB+SF '!$U$24=4, 'Calcul SF,HB,HB+SF '!$AF$24=4)), 2,
IF(OR('Calcul SF,HB,HB+SF '!$J$24=4, 'Calcul SF,HB,HB+SF '!$U$24=4, 'Calcul SF,HB,HB+SF '!$AF$24=4), 1, 0)))</f>
        <v>0</v>
      </c>
      <c r="F41" s="290">
        <v>136</v>
      </c>
      <c r="G41" s="33">
        <f t="shared" si="1"/>
        <v>0</v>
      </c>
      <c r="H41" s="248">
        <f t="shared" si="0"/>
        <v>0</v>
      </c>
      <c r="I41" s="5"/>
      <c r="L41" s="5"/>
      <c r="M41" s="5"/>
      <c r="N41" s="5"/>
      <c r="O41" s="5"/>
      <c r="P41" s="5"/>
      <c r="Q41" s="5"/>
    </row>
    <row r="42" spans="1:17" ht="50.1" customHeight="1" thickBot="1">
      <c r="A42" s="12"/>
      <c r="B42" s="2" t="s">
        <v>23</v>
      </c>
      <c r="C42" s="13" t="s">
        <v>121</v>
      </c>
      <c r="D42" s="2" t="s">
        <v>11</v>
      </c>
      <c r="E42" s="2">
        <f>IF(AND('Calcul SF,HB,HB+SF '!$J$24=5, 'Calcul SF,HB,HB+SF '!$U$24=5, 'Calcul SF,HB,HB+SF '!$AF$24=5), 3,
IF(OR(AND('Calcul SF,HB,HB+SF '!$J$24=5, 'Calcul SF,HB,HB+SF '!$U$24=5),
      AND('Calcul SF,HB,HB+SF '!$J$24=5, 'Calcul SF,HB,HB+SF '!$AF$24=5),
      AND('Calcul SF,HB,HB+SF '!$U$24=5, 'Calcul SF,HB,HB+SF '!$AF$24=5)), 2,
IF(OR('Calcul SF,HB,HB+SF '!$J$24=5, 'Calcul SF,HB,HB+SF '!$U$24=5, 'Calcul SF,HB,HB+SF '!$AF$24=5), 1, 0)))</f>
        <v>0</v>
      </c>
      <c r="F42" s="290">
        <v>151</v>
      </c>
      <c r="G42" s="33">
        <f t="shared" si="1"/>
        <v>0</v>
      </c>
      <c r="H42" s="248">
        <f t="shared" si="0"/>
        <v>0</v>
      </c>
      <c r="I42" s="5"/>
      <c r="L42" s="5"/>
      <c r="M42" s="5"/>
      <c r="N42" s="5"/>
      <c r="O42" s="5"/>
      <c r="P42" s="5"/>
      <c r="Q42" s="5"/>
    </row>
    <row r="43" spans="1:17" ht="50.1" customHeight="1" thickBot="1">
      <c r="A43" s="12"/>
      <c r="B43" s="2" t="s">
        <v>22</v>
      </c>
      <c r="C43" s="13" t="s">
        <v>303</v>
      </c>
      <c r="D43" s="2" t="s">
        <v>11</v>
      </c>
      <c r="E43" s="2">
        <f>IF(AND('Calcul SF,HB,HB+SF '!$J$24=6, 'Calcul SF,HB,HB+SF '!$U$24=6, 'Calcul SF,HB,HB+SF '!$AF$24=6), 3,
IF(OR(AND('Calcul SF,HB,HB+SF '!$J$24=6, 'Calcul SF,HB,HB+SF '!$U$24=6),
      AND('Calcul SF,HB,HB+SF '!$J$24=6, 'Calcul SF,HB,HB+SF '!$AF$24=6),
      AND('Calcul SF,HB,HB+SF '!$U$24=6, 'Calcul SF,HB,HB+SF '!$AF$24=6)), 2,
IF(OR('Calcul SF,HB,HB+SF '!$J$24=6, 'Calcul SF,HB,HB+SF '!$U$24=6, 'Calcul SF,HB,HB+SF '!$AF$24=6), 1, 0)))</f>
        <v>0</v>
      </c>
      <c r="F43" s="290">
        <v>168</v>
      </c>
      <c r="G43" s="33">
        <f t="shared" si="1"/>
        <v>0</v>
      </c>
      <c r="H43" s="248">
        <f t="shared" si="0"/>
        <v>0</v>
      </c>
      <c r="I43" s="5"/>
      <c r="L43" s="5"/>
      <c r="M43" s="5"/>
      <c r="N43" s="5"/>
      <c r="O43" s="5"/>
      <c r="P43" s="5"/>
      <c r="Q43" s="5"/>
    </row>
    <row r="44" spans="1:17" ht="50.1" customHeight="1" thickBot="1">
      <c r="A44" s="12"/>
      <c r="B44" s="2" t="s">
        <v>21</v>
      </c>
      <c r="C44" s="13" t="s">
        <v>304</v>
      </c>
      <c r="D44" s="2" t="s">
        <v>11</v>
      </c>
      <c r="E44" s="2">
        <f>IF(AND('Calcul SF,HB,HB+SF '!$J$24=7, 'Calcul SF,HB,HB+SF '!$U$24=7, 'Calcul SF,HB,HB+SF '!$AF$24=7), 3,
IF(OR(AND('Calcul SF,HB,HB+SF '!$J$24=7, 'Calcul SF,HB,HB+SF '!$U$24=7),
      AND('Calcul SF,HB,HB+SF '!$J$24=7, 'Calcul SF,HB,HB+SF '!$AF$24=7),
      AND('Calcul SF,HB,HB+SF '!$U$24=7, 'Calcul SF,HB,HB+SF '!$AF$24=7)), 2,
IF(OR('Calcul SF,HB,HB+SF '!$J$24=7, 'Calcul SF,HB,HB+SF '!$U$24=7, 'Calcul SF,HB,HB+SF '!$AF$24=7), 1, 0)))</f>
        <v>0</v>
      </c>
      <c r="F44" s="290">
        <v>184</v>
      </c>
      <c r="G44" s="33">
        <f t="shared" si="1"/>
        <v>0</v>
      </c>
      <c r="H44" s="248">
        <f t="shared" si="0"/>
        <v>0</v>
      </c>
      <c r="I44" s="5"/>
      <c r="L44" s="5"/>
      <c r="M44" s="5"/>
      <c r="N44" s="5"/>
      <c r="O44" s="5"/>
      <c r="P44" s="5"/>
      <c r="Q44" s="5"/>
    </row>
    <row r="45" spans="1:17" ht="50.1" customHeight="1" thickBot="1">
      <c r="A45" s="12"/>
      <c r="B45" s="2" t="s">
        <v>38</v>
      </c>
      <c r="C45" s="13" t="s">
        <v>167</v>
      </c>
      <c r="D45" s="2" t="s">
        <v>11</v>
      </c>
      <c r="E45" s="2">
        <f>IF(AND('Calcul SF,HB,HB+SF '!$J$24=8, 'Calcul SF,HB,HB+SF '!$U$24=8, 'Calcul SF,HB,HB+SF '!$AF$24=8), 3,
IF(OR(AND('Calcul SF,HB,HB+SF '!$J$24=8, 'Calcul SF,HB,HB+SF '!$U$24=8),
      AND('Calcul SF,HB,HB+SF '!$J$24=8, 'Calcul SF,HB,HB+SF '!$AF$24=8),
      AND('Calcul SF,HB,HB+SF '!$U$24=8, 'Calcul SF,HB,HB+SF '!$AF$24=8)), 2,
IF(OR('Calcul SF,HB,HB+SF '!$J$24=8, 'Calcul SF,HB,HB+SF '!$U$24=8, 'Calcul SF,HB,HB+SF '!$AF$24=8), 1, 0)))</f>
        <v>0</v>
      </c>
      <c r="F45" s="290">
        <v>200</v>
      </c>
      <c r="G45" s="33">
        <f t="shared" si="1"/>
        <v>0</v>
      </c>
      <c r="H45" s="248">
        <f t="shared" si="0"/>
        <v>0</v>
      </c>
      <c r="I45" s="5"/>
      <c r="L45" s="5"/>
      <c r="M45" s="5"/>
      <c r="N45" s="5"/>
      <c r="O45" s="5"/>
      <c r="P45" s="5"/>
      <c r="Q45" s="5"/>
    </row>
    <row r="46" spans="1:17" ht="50.1" customHeight="1" thickBot="1">
      <c r="A46" s="12"/>
      <c r="B46" s="2" t="s">
        <v>39</v>
      </c>
      <c r="C46" s="13" t="s">
        <v>173</v>
      </c>
      <c r="D46" s="2" t="s">
        <v>11</v>
      </c>
      <c r="E46" s="2">
        <f>IF(AND('Calcul SF,HB,HB+SF '!$J$24=9, 'Calcul SF,HB,HB+SF '!$U$24=9, 'Calcul SF,HB,HB+SF '!$AF$24=9), 3,
IF(OR(AND('Calcul SF,HB,HB+SF '!$J$24=9, 'Calcul SF,HB,HB+SF '!$U$24=9),
      AND('Calcul SF,HB,HB+SF '!$J$24=9, 'Calcul SF,HB,HB+SF '!$AF$24=9),
      AND('Calcul SF,HB,HB+SF '!$U$24=9, 'Calcul SF,HB,HB+SF '!$AF$24=9)), 2,
IF(OR('Calcul SF,HB,HB+SF '!$J$24=9, 'Calcul SF,HB,HB+SF '!$U$24=9, 'Calcul SF,HB,HB+SF '!$AF$24=9), 1, 0)))</f>
        <v>0</v>
      </c>
      <c r="F46" s="290">
        <v>215</v>
      </c>
      <c r="G46" s="33">
        <f t="shared" si="1"/>
        <v>0</v>
      </c>
      <c r="H46" s="248">
        <f t="shared" si="0"/>
        <v>0</v>
      </c>
      <c r="I46" s="5"/>
      <c r="L46" s="5"/>
      <c r="M46" s="5"/>
      <c r="N46" s="5"/>
      <c r="O46" s="5"/>
      <c r="P46" s="5"/>
      <c r="Q46" s="5"/>
    </row>
    <row r="47" spans="1:17" ht="50.1" customHeight="1" thickBot="1">
      <c r="A47" s="12"/>
      <c r="B47" s="2" t="s">
        <v>40</v>
      </c>
      <c r="C47" s="13" t="s">
        <v>122</v>
      </c>
      <c r="D47" s="2" t="s">
        <v>11</v>
      </c>
      <c r="E47" s="2">
        <f>IF(AND('Calcul SF,HB,HB+SF '!$J$24=10, 'Calcul SF,HB,HB+SF '!$U$24=10, 'Calcul SF,HB,HB+SF '!$AF$24=10), 3,
IF(OR(AND('Calcul SF,HB,HB+SF '!$J$24=10, 'Calcul SF,HB,HB+SF '!$U$24=10),
      AND('Calcul SF,HB,HB+SF '!$J$24=10, 'Calcul SF,HB,HB+SF '!$AF$24=10),
      AND('Calcul SF,HB,HB+SF '!$U$24=10, 'Calcul SF,HB,HB+SF '!$AF$24=10)), 2,
IF(OR('Calcul SF,HB,HB+SF '!$J$24=10, 'Calcul SF,HB,HB+SF '!$U$24=10, 'Calcul SF,HB,HB+SF '!$AF$24=10), 1, 0)))</f>
        <v>0</v>
      </c>
      <c r="F47" s="290">
        <v>233</v>
      </c>
      <c r="G47" s="33">
        <f t="shared" si="1"/>
        <v>0</v>
      </c>
      <c r="H47" s="248">
        <f t="shared" si="0"/>
        <v>0</v>
      </c>
      <c r="I47" s="5"/>
      <c r="L47" s="5"/>
      <c r="M47" s="5"/>
      <c r="N47" s="5"/>
      <c r="O47" s="5"/>
      <c r="P47" s="5"/>
      <c r="Q47" s="5"/>
    </row>
    <row r="48" spans="1:17" ht="50.1" customHeight="1" thickBot="1">
      <c r="A48" s="12"/>
      <c r="B48" s="2" t="s">
        <v>41</v>
      </c>
      <c r="C48" s="13" t="s">
        <v>123</v>
      </c>
      <c r="D48" s="2" t="s">
        <v>11</v>
      </c>
      <c r="E48" s="2">
        <f>IF(AND('Calcul SF,HB,HB+SF '!$J$24=11, 'Calcul SF,HB,HB+SF '!$U$24=11, 'Calcul SF,HB,HB+SF '!$AF$24=11), 3,
IF(OR(AND('Calcul SF,HB,HB+SF '!$J$24=11, 'Calcul SF,HB,HB+SF '!$U$24=11),
      AND('Calcul SF,HB,HB+SF '!$J$24=11, 'Calcul SF,HB,HB+SF '!$AF$24=11),
      AND('Calcul SF,HB,HB+SF '!$U$24=11, 'Calcul SF,HB,HB+SF '!$AF$24=11)), 2,
IF(OR('Calcul SF,HB,HB+SF '!$J$24=11, 'Calcul SF,HB,HB+SF '!$U$24=11, 'Calcul SF,HB,HB+SF '!$AF$24=11), 1, 0)))</f>
        <v>0</v>
      </c>
      <c r="F48" s="290">
        <v>247</v>
      </c>
      <c r="G48" s="33">
        <f t="shared" si="1"/>
        <v>0</v>
      </c>
      <c r="H48" s="248">
        <f t="shared" si="0"/>
        <v>0</v>
      </c>
      <c r="I48" s="5"/>
      <c r="L48" s="5"/>
      <c r="M48" s="5"/>
      <c r="N48" s="5"/>
      <c r="O48" s="5"/>
      <c r="P48" s="5"/>
      <c r="Q48" s="5"/>
    </row>
    <row r="49" spans="1:17" ht="50.1" customHeight="1" thickBot="1">
      <c r="A49" s="12"/>
      <c r="B49" s="2" t="s">
        <v>42</v>
      </c>
      <c r="C49" s="13" t="s">
        <v>124</v>
      </c>
      <c r="D49" s="2" t="s">
        <v>11</v>
      </c>
      <c r="E49" s="2">
        <f>IF(AND('Calcul SF,HB,HB+SF '!$J$24=12, 'Calcul SF,HB,HB+SF '!$U$24=12, 'Calcul SF,HB,HB+SF '!$AF$24=12), 3,
IF(OR(AND('Calcul SF,HB,HB+SF '!$J$24=12, 'Calcul SF,HB,HB+SF '!$U$24=12),
      AND('Calcul SF,HB,HB+SF '!$J$24=12, 'Calcul SF,HB,HB+SF '!$AF$24=12),
      AND('Calcul SF,HB,HB+SF '!$U$24=12, 'Calcul SF,HB,HB+SF '!$AF$24=12)), 2,
IF(OR('Calcul SF,HB,HB+SF '!$J$24=12, 'Calcul SF,HB,HB+SF '!$U$24=12, 'Calcul SF,HB,HB+SF '!$AF$24=12), 1, 0)))</f>
        <v>0</v>
      </c>
      <c r="F49" s="290">
        <v>265</v>
      </c>
      <c r="G49" s="33">
        <f t="shared" si="1"/>
        <v>0</v>
      </c>
      <c r="H49" s="248">
        <f t="shared" si="0"/>
        <v>0</v>
      </c>
      <c r="I49" s="5"/>
      <c r="L49" s="5"/>
      <c r="M49" s="5"/>
      <c r="N49" s="5"/>
      <c r="O49" s="5"/>
      <c r="P49" s="5"/>
      <c r="Q49" s="5"/>
    </row>
    <row r="50" spans="1:17" ht="50.1" customHeight="1" thickBot="1">
      <c r="A50" s="12"/>
      <c r="B50" s="2" t="s">
        <v>43</v>
      </c>
      <c r="C50" s="13" t="s">
        <v>125</v>
      </c>
      <c r="D50" s="2" t="s">
        <v>11</v>
      </c>
      <c r="E50" s="2">
        <f>IF(AND('Calcul SF,HB,HB+SF '!$J$24=13, 'Calcul SF,HB,HB+SF '!$U$24=13, 'Calcul SF,HB,HB+SF '!$AF$24=13), 3,
IF(OR(AND('Calcul SF,HB,HB+SF '!$J$24=13, 'Calcul SF,HB,HB+SF '!$U$24=13),
      AND('Calcul SF,HB,HB+SF '!$J$24=13, 'Calcul SF,HB,HB+SF '!$AF$24=13),
      AND('Calcul SF,HB,HB+SF '!$U$24=13, 'Calcul SF,HB,HB+SF '!$AF$24=13)), 2,
IF(OR('Calcul SF,HB,HB+SF '!$J$24=13, 'Calcul SF,HB,HB+SF '!$U$24=13, 'Calcul SF,HB,HB+SF '!$AF$24=13), 1, 0)))</f>
        <v>0</v>
      </c>
      <c r="F50" s="290">
        <v>283</v>
      </c>
      <c r="G50" s="33">
        <f t="shared" si="1"/>
        <v>0</v>
      </c>
      <c r="H50" s="248">
        <f t="shared" si="0"/>
        <v>0</v>
      </c>
      <c r="I50" s="5"/>
      <c r="L50" s="5"/>
      <c r="M50" s="5"/>
      <c r="N50" s="5"/>
      <c r="O50" s="5"/>
      <c r="P50" s="5"/>
      <c r="Q50" s="5"/>
    </row>
    <row r="51" spans="1:17" ht="50.1" customHeight="1" thickBot="1">
      <c r="A51" s="12"/>
      <c r="B51" s="2" t="s">
        <v>44</v>
      </c>
      <c r="C51" s="13" t="s">
        <v>126</v>
      </c>
      <c r="D51" s="2" t="s">
        <v>11</v>
      </c>
      <c r="E51" s="2">
        <f>IF(AND('Calcul SF,HB,HB+SF '!$J$24=14, 'Calcul SF,HB,HB+SF '!$U$24=14, 'Calcul SF,HB,HB+SF '!$AF$24=14), 3,
IF(OR(AND('Calcul SF,HB,HB+SF '!$J$24=14, 'Calcul SF,HB,HB+SF '!$U$24=14),
      AND('Calcul SF,HB,HB+SF '!$J$24=14, 'Calcul SF,HB,HB+SF '!$AF$24=14),
      AND('Calcul SF,HB,HB+SF '!$U$24=14, 'Calcul SF,HB,HB+SF '!$AF$24=14)), 2,
IF(OR('Calcul SF,HB,HB+SF '!$J$24=14, 'Calcul SF,HB,HB+SF '!$U$24=14, 'Calcul SF,HB,HB+SF '!$AF$24=14), 1, 0)))</f>
        <v>0</v>
      </c>
      <c r="F51" s="290">
        <v>298</v>
      </c>
      <c r="G51" s="33">
        <f t="shared" si="1"/>
        <v>0</v>
      </c>
      <c r="H51" s="248">
        <f t="shared" si="0"/>
        <v>0</v>
      </c>
      <c r="I51" s="5"/>
      <c r="L51" s="5"/>
      <c r="M51" s="5"/>
      <c r="N51" s="5"/>
      <c r="O51" s="5"/>
      <c r="P51" s="5"/>
      <c r="Q51" s="5"/>
    </row>
    <row r="52" spans="1:17" ht="50.1" customHeight="1" thickBot="1">
      <c r="A52" s="12"/>
      <c r="B52" s="2" t="s">
        <v>45</v>
      </c>
      <c r="C52" s="13" t="s">
        <v>127</v>
      </c>
      <c r="D52" s="2" t="s">
        <v>11</v>
      </c>
      <c r="E52" s="2">
        <f>IF(AND('Calcul SF,HB,HB+SF '!$J$24=15, 'Calcul SF,HB,HB+SF '!$U$24=15, 'Calcul SF,HB,HB+SF '!$AF$24=15), 3,
IF(OR(AND('Calcul SF,HB,HB+SF '!$J$24=15, 'Calcul SF,HB,HB+SF '!$U$24=15),
      AND('Calcul SF,HB,HB+SF '!$J$24=15, 'Calcul SF,HB,HB+SF '!$AF$24=15),
      AND('Calcul SF,HB,HB+SF '!$U$24=15, 'Calcul SF,HB,HB+SF '!$AF$24=15)), 2,
IF(OR('Calcul SF,HB,HB+SF '!$J$24=15, 'Calcul SF,HB,HB+SF '!$U$24=15, 'Calcul SF,HB,HB+SF '!$AF$24=15), 1, 0)))</f>
        <v>0</v>
      </c>
      <c r="F52" s="290">
        <v>314</v>
      </c>
      <c r="G52" s="33">
        <f t="shared" si="1"/>
        <v>0</v>
      </c>
      <c r="H52" s="248">
        <f t="shared" si="0"/>
        <v>0</v>
      </c>
      <c r="I52" s="5"/>
      <c r="L52" s="5"/>
      <c r="M52" s="5"/>
      <c r="N52" s="5"/>
      <c r="O52" s="5"/>
      <c r="P52" s="5"/>
      <c r="Q52" s="5"/>
    </row>
    <row r="53" spans="1:17" ht="18" customHeight="1" thickBot="1">
      <c r="A53" s="326"/>
      <c r="B53" s="327" t="s">
        <v>129</v>
      </c>
      <c r="C53" s="328" t="s">
        <v>420</v>
      </c>
      <c r="D53" s="327" t="s">
        <v>11</v>
      </c>
      <c r="E53" s="327"/>
      <c r="F53" s="338">
        <v>54</v>
      </c>
      <c r="G53" s="329">
        <f t="shared" si="1"/>
        <v>0</v>
      </c>
      <c r="H53" s="330">
        <f t="shared" si="0"/>
        <v>0</v>
      </c>
      <c r="I53" s="331"/>
      <c r="J53" s="5"/>
      <c r="K53" s="5"/>
      <c r="L53" s="5"/>
      <c r="M53" s="5"/>
      <c r="N53" s="5"/>
      <c r="O53" s="5"/>
      <c r="P53" s="5"/>
      <c r="Q53" s="5"/>
    </row>
    <row r="54" spans="1:17" ht="18" customHeight="1" thickBot="1">
      <c r="A54" s="326"/>
      <c r="B54" s="327" t="s">
        <v>418</v>
      </c>
      <c r="C54" s="328" t="s">
        <v>419</v>
      </c>
      <c r="D54" s="327" t="s">
        <v>11</v>
      </c>
      <c r="E54" s="327"/>
      <c r="F54" s="338">
        <v>58</v>
      </c>
      <c r="G54" s="329">
        <f t="shared" si="1"/>
        <v>0</v>
      </c>
      <c r="H54" s="330">
        <f t="shared" si="0"/>
        <v>0</v>
      </c>
      <c r="I54" s="331"/>
      <c r="J54" s="5"/>
      <c r="K54" s="5"/>
      <c r="L54" s="5"/>
      <c r="M54" s="5"/>
      <c r="N54" s="5"/>
      <c r="O54" s="5"/>
      <c r="P54" s="5"/>
      <c r="Q54" s="5"/>
    </row>
    <row r="55" spans="1:17" ht="18" customHeight="1" thickBot="1">
      <c r="A55" s="12"/>
      <c r="B55" s="260" t="s">
        <v>421</v>
      </c>
      <c r="C55" s="332" t="s">
        <v>422</v>
      </c>
      <c r="D55" s="2" t="s">
        <v>11</v>
      </c>
      <c r="E55" s="297">
        <f>--OR('Calcul SF,HB,HB+SF '!$J$24=2,'Calcul SF,HB,HB+SF '!$J$24=3)
 +--OR('Calcul SF,HB,HB+SF '!$U$24=2,'Calcul SF,HB,HB+SF '!$U$24=3)
 +--OR('Calcul SF,HB,HB+SF '!$AF$24=2,'Calcul SF,HB,HB+SF '!$AF$24=3)</f>
        <v>0</v>
      </c>
      <c r="F55" s="286">
        <v>76</v>
      </c>
      <c r="G55" s="33">
        <f t="shared" si="1"/>
        <v>0</v>
      </c>
      <c r="H55" s="248">
        <f t="shared" si="0"/>
        <v>0</v>
      </c>
      <c r="I55" s="5"/>
      <c r="J55" s="5"/>
      <c r="K55" s="5"/>
      <c r="L55" s="5"/>
      <c r="M55" s="5"/>
      <c r="N55" s="5"/>
      <c r="O55" s="5"/>
      <c r="P55" s="5"/>
      <c r="Q55" s="5"/>
    </row>
    <row r="56" spans="1:17" ht="18" customHeight="1" thickBot="1">
      <c r="A56" s="334"/>
      <c r="B56" s="260" t="s">
        <v>412</v>
      </c>
      <c r="C56" s="332" t="s">
        <v>423</v>
      </c>
      <c r="D56" s="260" t="s">
        <v>11</v>
      </c>
      <c r="E56" s="333" cm="1">
        <f t="array" ref="E56">--OR('Calcul SF,HB,HB+SF '!$J$24={4,5,6,7})
 +--OR('Calcul SF,HB,HB+SF '!$U$24={4,5,6,7})
 +--OR('Calcul SF,HB,HB+SF '!$AF$24={4,5,6,7})</f>
        <v>0</v>
      </c>
      <c r="F56" s="339">
        <v>82</v>
      </c>
      <c r="G56" s="335">
        <f t="shared" si="1"/>
        <v>0</v>
      </c>
      <c r="H56" s="330">
        <f t="shared" si="0"/>
        <v>0</v>
      </c>
      <c r="I56" s="331"/>
      <c r="J56" s="5"/>
      <c r="K56" s="5"/>
      <c r="L56" s="5"/>
      <c r="M56" s="5"/>
      <c r="N56" s="5"/>
      <c r="O56" s="5"/>
      <c r="P56" s="5"/>
      <c r="Q56" s="5"/>
    </row>
    <row r="57" spans="1:17" ht="18" customHeight="1" thickBot="1">
      <c r="A57" s="334"/>
      <c r="B57" s="260" t="s">
        <v>130</v>
      </c>
      <c r="C57" s="332" t="s">
        <v>424</v>
      </c>
      <c r="D57" s="260" t="s">
        <v>11</v>
      </c>
      <c r="E57" s="333" cm="1">
        <f t="array" ref="E57">--OR('Calcul SF,HB,HB+SF '!$J$24={8,9,10,11})
 +--OR('Calcul SF,HB,HB+SF '!$U$24={8,9,10,11})
 +--OR('Calcul SF,HB,HB+SF '!$AF$24={8,9,10,11})</f>
        <v>0</v>
      </c>
      <c r="F57" s="339">
        <v>96</v>
      </c>
      <c r="G57" s="335">
        <f t="shared" si="1"/>
        <v>0</v>
      </c>
      <c r="H57" s="330">
        <f t="shared" si="0"/>
        <v>0</v>
      </c>
      <c r="I57" s="331"/>
      <c r="J57" s="5"/>
      <c r="K57" s="5"/>
      <c r="L57" s="5"/>
      <c r="M57" s="5"/>
      <c r="N57" s="5"/>
      <c r="O57" s="5"/>
      <c r="P57" s="5"/>
      <c r="Q57" s="5"/>
    </row>
    <row r="58" spans="1:17" ht="18" customHeight="1" thickBot="1">
      <c r="A58" s="334"/>
      <c r="B58" s="260" t="s">
        <v>131</v>
      </c>
      <c r="C58" s="332" t="s">
        <v>425</v>
      </c>
      <c r="D58" s="260" t="s">
        <v>11</v>
      </c>
      <c r="E58" s="333" cm="1">
        <f t="array" ref="E58">--OR('Calcul SF,HB,HB+SF '!$J$24={12,13})
 +--OR('Calcul SF,HB,HB+SF '!$U$24={12,13})
 +--OR('Calcul SF,HB,HB+SF '!$AF$24={12,13})</f>
        <v>0</v>
      </c>
      <c r="F58" s="339">
        <v>102</v>
      </c>
      <c r="G58" s="335">
        <f t="shared" si="1"/>
        <v>0</v>
      </c>
      <c r="H58" s="330">
        <f t="shared" si="0"/>
        <v>0</v>
      </c>
      <c r="I58" s="331"/>
      <c r="J58" s="5"/>
      <c r="K58" s="5"/>
      <c r="L58" s="5"/>
      <c r="M58" s="5"/>
      <c r="N58" s="5"/>
      <c r="O58" s="5"/>
      <c r="P58" s="5"/>
      <c r="Q58" s="5"/>
    </row>
    <row r="59" spans="1:17" ht="18" customHeight="1" thickBot="1">
      <c r="A59" s="334"/>
      <c r="B59" s="260" t="s">
        <v>325</v>
      </c>
      <c r="C59" s="332" t="s">
        <v>426</v>
      </c>
      <c r="D59" s="260" t="s">
        <v>11</v>
      </c>
      <c r="E59" s="333" cm="1">
        <f t="array" ref="E59">--OR('Calcul SF,HB,HB+SF '!$J$24={14,15})
 +--OR('Calcul SF,HB,HB+SF '!$U$24={14,15})
 +--OR('Calcul SF,HB,HB+SF '!$AF$24={14,15})</f>
        <v>0</v>
      </c>
      <c r="F59" s="339">
        <v>120</v>
      </c>
      <c r="G59" s="335">
        <f t="shared" si="1"/>
        <v>0</v>
      </c>
      <c r="H59" s="330">
        <f t="shared" si="0"/>
        <v>0</v>
      </c>
      <c r="I59" s="331"/>
      <c r="J59" s="5"/>
      <c r="K59" s="5"/>
      <c r="L59" s="5"/>
      <c r="M59" s="5"/>
      <c r="N59" s="5"/>
      <c r="O59" s="5"/>
      <c r="P59" s="5"/>
      <c r="Q59" s="5"/>
    </row>
    <row r="60" spans="1:17" ht="18" customHeight="1" thickBot="1">
      <c r="A60" s="12"/>
      <c r="B60" s="2" t="s">
        <v>24</v>
      </c>
      <c r="C60" s="13" t="s">
        <v>137</v>
      </c>
      <c r="D60" s="2" t="s">
        <v>13</v>
      </c>
      <c r="E60" s="2">
        <f>'Calcul SF,HB,HB+SF '!I24</f>
        <v>0</v>
      </c>
      <c r="F60" s="290">
        <v>4</v>
      </c>
      <c r="G60" s="33">
        <f t="shared" si="1"/>
        <v>0</v>
      </c>
      <c r="H60" s="248">
        <f t="shared" ref="H60:H66" si="2">E60</f>
        <v>0</v>
      </c>
      <c r="I60" s="5"/>
      <c r="L60" s="5"/>
      <c r="M60" s="5"/>
      <c r="N60" s="5"/>
      <c r="O60" s="5"/>
      <c r="P60" s="5"/>
      <c r="Q60" s="5"/>
    </row>
    <row r="61" spans="1:17" ht="18" customHeight="1" thickBot="1">
      <c r="A61" s="12"/>
      <c r="B61" s="2">
        <v>91001</v>
      </c>
      <c r="C61" s="13" t="s">
        <v>89</v>
      </c>
      <c r="D61" s="2" t="s">
        <v>13</v>
      </c>
      <c r="E61" s="2"/>
      <c r="F61" s="290">
        <v>11.55</v>
      </c>
      <c r="G61" s="33">
        <f t="shared" si="1"/>
        <v>0</v>
      </c>
      <c r="H61" s="248">
        <f t="shared" si="2"/>
        <v>0</v>
      </c>
      <c r="I61" s="5"/>
      <c r="L61" s="5"/>
      <c r="M61" s="5"/>
      <c r="N61" s="5"/>
      <c r="O61" s="5"/>
      <c r="P61" s="5"/>
      <c r="Q61" s="5"/>
    </row>
    <row r="62" spans="1:17" ht="18" customHeight="1" thickBot="1">
      <c r="A62" s="12"/>
      <c r="B62" s="2">
        <v>91002</v>
      </c>
      <c r="C62" s="13" t="s">
        <v>179</v>
      </c>
      <c r="D62" s="2" t="s">
        <v>13</v>
      </c>
      <c r="E62" s="2"/>
      <c r="F62" s="290">
        <v>14.700000000000001</v>
      </c>
      <c r="G62" s="33">
        <f t="shared" si="1"/>
        <v>0</v>
      </c>
      <c r="H62" s="248">
        <f t="shared" si="2"/>
        <v>0</v>
      </c>
      <c r="I62" s="5"/>
      <c r="L62" s="5"/>
      <c r="M62" s="5"/>
      <c r="N62" s="5"/>
      <c r="O62" s="5"/>
      <c r="P62" s="5"/>
      <c r="Q62" s="5"/>
    </row>
    <row r="63" spans="1:17" ht="18" customHeight="1" thickBot="1">
      <c r="A63" s="12"/>
      <c r="B63" s="2">
        <v>91201</v>
      </c>
      <c r="C63" s="13" t="s">
        <v>90</v>
      </c>
      <c r="D63" s="2" t="s">
        <v>13</v>
      </c>
      <c r="E63" s="2"/>
      <c r="F63" s="290">
        <v>21</v>
      </c>
      <c r="G63" s="33">
        <f t="shared" si="1"/>
        <v>0</v>
      </c>
      <c r="H63" s="248">
        <f t="shared" si="2"/>
        <v>0</v>
      </c>
      <c r="I63" s="5"/>
      <c r="L63" s="5"/>
      <c r="M63" s="5"/>
      <c r="N63" s="5"/>
      <c r="O63" s="5"/>
      <c r="P63" s="5"/>
      <c r="Q63" s="5"/>
    </row>
    <row r="64" spans="1:17" ht="18" customHeight="1" thickBot="1">
      <c r="A64" s="12"/>
      <c r="B64" s="2">
        <v>91202</v>
      </c>
      <c r="C64" s="13" t="s">
        <v>180</v>
      </c>
      <c r="D64" s="2" t="s">
        <v>13</v>
      </c>
      <c r="E64" s="2"/>
      <c r="F64" s="290">
        <v>31.5</v>
      </c>
      <c r="G64" s="33">
        <f t="shared" si="1"/>
        <v>0</v>
      </c>
      <c r="H64" s="248">
        <f t="shared" si="2"/>
        <v>0</v>
      </c>
      <c r="I64" s="5"/>
      <c r="L64" s="5"/>
      <c r="M64" s="5"/>
      <c r="N64" s="5"/>
      <c r="O64" s="5"/>
      <c r="P64" s="5"/>
      <c r="Q64" s="5"/>
    </row>
    <row r="65" spans="1:17" ht="18" customHeight="1" thickBot="1">
      <c r="A65" s="12"/>
      <c r="B65" s="2">
        <v>91203</v>
      </c>
      <c r="C65" s="13" t="s">
        <v>181</v>
      </c>
      <c r="D65" s="2" t="s">
        <v>13</v>
      </c>
      <c r="E65" s="2"/>
      <c r="F65" s="290">
        <v>48.594000000000001</v>
      </c>
      <c r="G65" s="33">
        <f t="shared" si="1"/>
        <v>0</v>
      </c>
      <c r="H65" s="248">
        <f t="shared" si="2"/>
        <v>0</v>
      </c>
      <c r="I65" s="5"/>
      <c r="L65" s="5"/>
      <c r="M65" s="5"/>
      <c r="N65" s="5"/>
      <c r="O65" s="5"/>
      <c r="P65" s="5"/>
      <c r="Q65" s="5"/>
    </row>
    <row r="66" spans="1:17" ht="27.9" customHeight="1" thickBot="1">
      <c r="A66" s="161"/>
      <c r="B66" s="272" t="s">
        <v>128</v>
      </c>
      <c r="C66" s="163" t="s">
        <v>427</v>
      </c>
      <c r="D66" s="272" t="s">
        <v>11</v>
      </c>
      <c r="E66" s="274">
        <f>IF(AND('Calcul SF,HB,HB+SF '!$J$24&gt;0, 'Calcul SF,HB,HB+SF '!$U$24&gt;0, 'Calcul SF,HB,HB+SF '!$AF$24&gt;0), 3,
    IF(OR(AND('Calcul SF,HB,HB+SF '!$J$24&gt;0, 'Calcul SF,HB,HB+SF '!$U$24&gt;0),
          AND('Calcul SF,HB,HB+SF '!$J$24&gt;0, 'Calcul SF,HB,HB+SF '!$AF$24&gt;0),
          AND('Calcul SF,HB,HB+SF '!$U$24&gt;0, 'Calcul SF,HB,HB+SF '!$AF$24&gt;0)), 2,
    IF(OR('Calcul SF,HB,HB+SF '!$J$24&gt;0, 'Calcul SF,HB,HB+SF '!$U$24&gt;0, 'Calcul SF,HB,HB+SF '!$AF$24&gt;0), 1, 0)))</f>
        <v>0</v>
      </c>
      <c r="F66" s="291">
        <v>342.3</v>
      </c>
      <c r="G66" s="164">
        <f t="shared" si="1"/>
        <v>0</v>
      </c>
      <c r="H66" s="248">
        <f t="shared" si="2"/>
        <v>0</v>
      </c>
      <c r="I66" s="5"/>
      <c r="L66" s="5"/>
      <c r="M66" s="5"/>
      <c r="N66" s="5"/>
      <c r="O66" s="5"/>
      <c r="P66" s="5"/>
      <c r="Q66" s="5"/>
    </row>
    <row r="67" spans="1:17" ht="18" customHeight="1" thickTop="1" thickBot="1">
      <c r="A67" s="537" t="s">
        <v>25</v>
      </c>
      <c r="B67" s="538"/>
      <c r="C67" s="538"/>
      <c r="D67" s="538"/>
      <c r="E67" s="265"/>
      <c r="F67" s="265"/>
      <c r="G67" s="273">
        <f>SUM(G22:G66)</f>
        <v>0</v>
      </c>
      <c r="H67" s="249">
        <f>G67</f>
        <v>0</v>
      </c>
      <c r="I67" s="5"/>
      <c r="L67" s="5"/>
      <c r="M67" s="5"/>
      <c r="N67" s="5"/>
      <c r="O67" s="5"/>
      <c r="P67" s="5"/>
      <c r="Q67" s="5"/>
    </row>
    <row r="68" spans="1:17" ht="18" customHeight="1" thickTop="1" thickBot="1">
      <c r="A68" s="522" t="s">
        <v>156</v>
      </c>
      <c r="B68" s="539"/>
      <c r="C68" s="539"/>
      <c r="D68" s="539"/>
      <c r="E68" s="47">
        <v>0.05</v>
      </c>
      <c r="F68" s="42"/>
      <c r="G68" s="97">
        <f>G67*(1-E68)</f>
        <v>0</v>
      </c>
      <c r="H68" s="249">
        <f>G68</f>
        <v>0</v>
      </c>
      <c r="I68" s="5"/>
      <c r="L68" s="5"/>
      <c r="M68" s="5"/>
      <c r="N68" s="5"/>
      <c r="O68" s="5"/>
      <c r="P68" s="5"/>
      <c r="Q68" s="5"/>
    </row>
    <row r="69" spans="1:17" ht="18" customHeight="1" thickTop="1" thickBot="1">
      <c r="A69" s="522" t="s">
        <v>143</v>
      </c>
      <c r="B69" s="540"/>
      <c r="C69" s="540"/>
      <c r="D69" s="540"/>
      <c r="E69" s="42"/>
      <c r="F69" s="42"/>
      <c r="G69" s="97">
        <f>G68*1.21</f>
        <v>0</v>
      </c>
      <c r="H69" s="249">
        <f>G69</f>
        <v>0</v>
      </c>
      <c r="I69" s="5"/>
      <c r="L69" s="5"/>
      <c r="M69" s="5"/>
      <c r="N69" s="5"/>
      <c r="O69" s="5"/>
      <c r="P69" s="5"/>
      <c r="Q69" s="5"/>
    </row>
    <row r="70" spans="1:17" ht="16.5" customHeight="1" thickTop="1">
      <c r="A70" s="14"/>
      <c r="B70" s="15"/>
      <c r="C70" s="15"/>
      <c r="D70" s="15"/>
      <c r="E70" s="15"/>
      <c r="F70" s="15"/>
      <c r="G70" s="15"/>
      <c r="H70" s="250">
        <f>G94</f>
        <v>0</v>
      </c>
      <c r="I70" s="5"/>
      <c r="L70" s="5"/>
      <c r="M70" s="5"/>
      <c r="N70" s="5"/>
      <c r="O70" s="5"/>
      <c r="P70" s="5"/>
      <c r="Q70" s="5"/>
    </row>
    <row r="71" spans="1:17" ht="16.5" customHeight="1">
      <c r="A71" s="14"/>
      <c r="B71" s="15"/>
      <c r="C71" s="15"/>
      <c r="D71" s="15"/>
      <c r="E71" s="15"/>
      <c r="F71" s="15"/>
      <c r="G71" s="15"/>
      <c r="H71" s="250"/>
      <c r="I71" s="5"/>
      <c r="L71" s="5"/>
      <c r="M71" s="5"/>
      <c r="N71" s="5"/>
      <c r="O71" s="5"/>
      <c r="P71" s="5"/>
      <c r="Q71" s="5"/>
    </row>
    <row r="72" spans="1:17" ht="16.5" customHeight="1">
      <c r="A72" s="14"/>
      <c r="B72" s="15"/>
      <c r="C72" s="15"/>
      <c r="D72" s="15"/>
      <c r="E72" s="15"/>
      <c r="F72" s="15"/>
      <c r="G72" s="15"/>
      <c r="H72" s="250"/>
      <c r="I72" s="5"/>
      <c r="L72" s="5"/>
      <c r="M72" s="5"/>
      <c r="N72" s="5"/>
      <c r="O72" s="5"/>
      <c r="P72" s="5"/>
      <c r="Q72" s="5"/>
    </row>
    <row r="73" spans="1:17" ht="16.5" customHeight="1">
      <c r="A73" s="14"/>
      <c r="B73" s="15"/>
      <c r="C73" s="15"/>
      <c r="D73" s="15"/>
      <c r="E73" s="15"/>
      <c r="F73" s="15"/>
      <c r="G73" s="15"/>
      <c r="H73" s="250"/>
      <c r="I73" s="5"/>
      <c r="L73" s="5"/>
      <c r="M73" s="5"/>
      <c r="N73" s="5"/>
      <c r="O73" s="5"/>
      <c r="P73" s="5"/>
      <c r="Q73" s="5"/>
    </row>
    <row r="74" spans="1:17" ht="14.25" customHeight="1">
      <c r="A74" s="14" t="s">
        <v>184</v>
      </c>
      <c r="B74" s="15"/>
      <c r="C74" s="15"/>
      <c r="D74" s="15"/>
      <c r="E74" s="15"/>
      <c r="F74" s="15"/>
      <c r="G74" s="15"/>
      <c r="H74" s="250" t="s">
        <v>83</v>
      </c>
      <c r="I74" s="5"/>
      <c r="L74" s="5"/>
      <c r="M74" s="5"/>
      <c r="N74" s="5"/>
      <c r="O74" s="5"/>
      <c r="P74" s="5"/>
      <c r="Q74" s="5"/>
    </row>
    <row r="75" spans="1:17" ht="18.75" customHeight="1">
      <c r="A75" s="541" t="s">
        <v>287</v>
      </c>
      <c r="B75" s="541"/>
      <c r="C75" s="541"/>
      <c r="D75" s="541"/>
      <c r="E75" s="541"/>
      <c r="F75" s="541"/>
      <c r="G75" s="541"/>
      <c r="H75" s="250">
        <f>SUM(H83:H118)</f>
        <v>0</v>
      </c>
      <c r="I75" s="5"/>
      <c r="L75" s="5"/>
      <c r="M75" s="5"/>
      <c r="N75" s="5"/>
      <c r="O75" s="5"/>
      <c r="P75" s="5"/>
      <c r="Q75" s="5"/>
    </row>
    <row r="76" spans="1:17" ht="10.050000000000001" customHeight="1">
      <c r="A76" s="72"/>
      <c r="B76" s="72"/>
      <c r="C76" s="72"/>
      <c r="D76" s="72"/>
      <c r="E76" s="72"/>
      <c r="F76" s="72"/>
      <c r="G76" s="72"/>
      <c r="H76" s="250"/>
      <c r="I76" s="5"/>
      <c r="L76" s="5"/>
      <c r="M76" s="5"/>
      <c r="N76" s="5"/>
      <c r="O76" s="5"/>
      <c r="P76" s="5"/>
      <c r="Q76" s="5"/>
    </row>
    <row r="77" spans="1:17" ht="18" customHeight="1">
      <c r="A77" s="533" t="s">
        <v>380</v>
      </c>
      <c r="B77" s="533"/>
      <c r="C77" s="533"/>
      <c r="D77" s="533"/>
      <c r="E77" s="533"/>
      <c r="F77" s="533"/>
      <c r="G77" s="533"/>
      <c r="H77" s="250">
        <f>G94</f>
        <v>0</v>
      </c>
      <c r="I77" s="5"/>
      <c r="L77" s="5"/>
      <c r="M77" s="5"/>
      <c r="N77" s="5"/>
      <c r="O77" s="5"/>
      <c r="P77" s="5"/>
      <c r="Q77" s="5"/>
    </row>
    <row r="78" spans="1:17">
      <c r="A78" s="544"/>
      <c r="B78" s="544"/>
      <c r="C78" s="544"/>
      <c r="D78" s="544"/>
      <c r="E78" s="544"/>
      <c r="F78" s="544"/>
      <c r="G78" s="544"/>
      <c r="H78" s="249">
        <f>G94</f>
        <v>0</v>
      </c>
      <c r="I78" s="5"/>
      <c r="L78" s="5"/>
      <c r="M78" s="5"/>
      <c r="N78" s="5"/>
      <c r="O78" s="5"/>
      <c r="P78" s="5"/>
      <c r="Q78" s="5"/>
    </row>
    <row r="79" spans="1:17" ht="15.75" customHeight="1" thickBot="1">
      <c r="A79" s="16"/>
      <c r="B79" s="15"/>
      <c r="C79" s="15"/>
      <c r="D79" s="15"/>
      <c r="E79" s="15"/>
      <c r="F79" s="15"/>
      <c r="G79" s="15"/>
      <c r="H79" s="249">
        <f>G94</f>
        <v>0</v>
      </c>
      <c r="I79" s="5"/>
      <c r="L79" s="5"/>
      <c r="M79" s="5"/>
      <c r="N79" s="5"/>
      <c r="O79" s="5"/>
      <c r="P79" s="5"/>
      <c r="Q79" s="5"/>
    </row>
    <row r="80" spans="1:17" ht="18.75" customHeight="1" thickTop="1">
      <c r="A80" s="6" t="s">
        <v>1</v>
      </c>
      <c r="B80" s="518" t="s">
        <v>3</v>
      </c>
      <c r="C80" s="518" t="s">
        <v>4</v>
      </c>
      <c r="D80" s="518" t="s">
        <v>5</v>
      </c>
      <c r="E80" s="518" t="s">
        <v>6</v>
      </c>
      <c r="F80" s="7" t="s">
        <v>7</v>
      </c>
      <c r="G80" s="8" t="s">
        <v>9</v>
      </c>
      <c r="H80" s="249">
        <f>G94</f>
        <v>0</v>
      </c>
      <c r="I80" s="5"/>
      <c r="L80" s="5"/>
      <c r="M80" s="5"/>
      <c r="N80" s="5"/>
      <c r="O80" s="5"/>
      <c r="P80" s="5"/>
      <c r="Q80" s="5"/>
    </row>
    <row r="81" spans="1:24" ht="24" customHeight="1" thickBot="1">
      <c r="A81" s="17" t="s">
        <v>2</v>
      </c>
      <c r="B81" s="527"/>
      <c r="C81" s="527"/>
      <c r="D81" s="527"/>
      <c r="E81" s="527"/>
      <c r="F81" s="18" t="s">
        <v>8</v>
      </c>
      <c r="G81" s="19" t="s">
        <v>8</v>
      </c>
      <c r="H81" s="249">
        <f>G94</f>
        <v>0</v>
      </c>
      <c r="I81" s="5"/>
      <c r="L81" s="5"/>
      <c r="M81" s="5" t="s">
        <v>184</v>
      </c>
      <c r="N81" s="5"/>
      <c r="O81" s="5"/>
      <c r="P81" s="5"/>
      <c r="Q81" s="5"/>
    </row>
    <row r="82" spans="1:24" ht="18" customHeight="1" thickTop="1" thickBot="1">
      <c r="A82" s="531" t="s">
        <v>27</v>
      </c>
      <c r="B82" s="532"/>
      <c r="C82" s="532"/>
      <c r="D82" s="264"/>
      <c r="E82" s="264"/>
      <c r="F82" s="264"/>
      <c r="G82" s="8"/>
      <c r="H82" s="248">
        <f>SUM(H83:H85)</f>
        <v>0</v>
      </c>
      <c r="I82" s="5"/>
      <c r="L82" s="5"/>
      <c r="M82" s="5"/>
      <c r="N82" s="5"/>
      <c r="O82" s="5"/>
      <c r="P82" s="5"/>
      <c r="Q82" s="5"/>
      <c r="S82" s="5"/>
      <c r="T82" s="5"/>
      <c r="U82" s="5"/>
      <c r="V82" s="5"/>
      <c r="W82" s="5"/>
      <c r="X82" s="5"/>
    </row>
    <row r="83" spans="1:24" ht="27.9" customHeight="1" thickTop="1" thickBot="1">
      <c r="A83" s="266"/>
      <c r="B83" s="267" t="s">
        <v>28</v>
      </c>
      <c r="C83" s="269" t="s">
        <v>182</v>
      </c>
      <c r="D83" s="267" t="s">
        <v>11</v>
      </c>
      <c r="E83" s="267">
        <f>'Calcul SF,HB,HB+SF '!K22</f>
        <v>0</v>
      </c>
      <c r="F83" s="287">
        <v>179</v>
      </c>
      <c r="G83" s="270">
        <f>E83*F83</f>
        <v>0</v>
      </c>
      <c r="H83" s="248">
        <f>E83</f>
        <v>0</v>
      </c>
      <c r="I83" s="5"/>
      <c r="L83" s="5"/>
      <c r="M83" s="5"/>
      <c r="N83" s="5"/>
      <c r="O83" s="5"/>
      <c r="P83" s="5"/>
      <c r="Q83" s="5"/>
    </row>
    <row r="84" spans="1:24" ht="18" customHeight="1" thickBot="1">
      <c r="A84" s="12"/>
      <c r="B84" s="3" t="s">
        <v>29</v>
      </c>
      <c r="C84" s="13" t="s">
        <v>30</v>
      </c>
      <c r="D84" s="3" t="s">
        <v>11</v>
      </c>
      <c r="E84" s="3">
        <f>'Calcul SF,HB,HB+SF '!H24</f>
        <v>0</v>
      </c>
      <c r="F84" s="286">
        <v>17</v>
      </c>
      <c r="G84" s="33">
        <f t="shared" ref="G84:G89" si="3">E84*F84</f>
        <v>0</v>
      </c>
      <c r="H84" s="248">
        <f t="shared" ref="H84:H89" si="4">E84</f>
        <v>0</v>
      </c>
      <c r="I84" s="5"/>
      <c r="L84" s="5"/>
      <c r="M84" s="5"/>
      <c r="N84" s="5"/>
      <c r="O84" s="5"/>
      <c r="P84" s="5"/>
      <c r="Q84" s="5"/>
    </row>
    <row r="85" spans="1:24" ht="18" customHeight="1" thickBot="1">
      <c r="A85" s="161"/>
      <c r="B85" s="162" t="s">
        <v>31</v>
      </c>
      <c r="C85" s="163" t="s">
        <v>183</v>
      </c>
      <c r="D85" s="162" t="s">
        <v>11</v>
      </c>
      <c r="E85" s="162">
        <f>IF(OR('Calcul SF,HB,HB+SF '!J22=0),0,'Calcul SF,HB,HB+SF '!J22-1)</f>
        <v>0</v>
      </c>
      <c r="F85" s="288">
        <v>41</v>
      </c>
      <c r="G85" s="164">
        <f t="shared" si="3"/>
        <v>0</v>
      </c>
      <c r="H85" s="248">
        <f t="shared" si="4"/>
        <v>0</v>
      </c>
      <c r="I85" s="5"/>
      <c r="L85" s="5"/>
      <c r="M85" s="5"/>
      <c r="N85" s="5"/>
      <c r="O85" s="5"/>
      <c r="P85" s="5"/>
      <c r="Q85" s="5"/>
    </row>
    <row r="86" spans="1:24" ht="18" customHeight="1" thickTop="1" thickBot="1">
      <c r="A86" s="550" t="s">
        <v>326</v>
      </c>
      <c r="B86" s="544"/>
      <c r="C86" s="544"/>
      <c r="D86" s="14"/>
      <c r="E86" s="14"/>
      <c r="F86" s="14"/>
      <c r="G86" s="38"/>
      <c r="H86" s="248">
        <f>SUM(H87:H89)</f>
        <v>0</v>
      </c>
      <c r="I86" s="5"/>
      <c r="L86" s="5"/>
      <c r="M86" s="5"/>
      <c r="N86" s="5"/>
      <c r="O86" s="5"/>
      <c r="P86" s="5"/>
      <c r="Q86" s="5"/>
    </row>
    <row r="87" spans="1:24" ht="27.9" customHeight="1" thickTop="1" thickBot="1">
      <c r="A87" s="266"/>
      <c r="B87" s="267" t="s">
        <v>28</v>
      </c>
      <c r="C87" s="269" t="s">
        <v>182</v>
      </c>
      <c r="D87" s="267" t="s">
        <v>11</v>
      </c>
      <c r="E87" s="267">
        <f>'Calcul SF,HB,HB+SF '!V22</f>
        <v>0</v>
      </c>
      <c r="F87" s="287">
        <v>179</v>
      </c>
      <c r="G87" s="270">
        <f t="shared" si="3"/>
        <v>0</v>
      </c>
      <c r="H87" s="248">
        <f t="shared" si="4"/>
        <v>0</v>
      </c>
      <c r="I87" s="5"/>
      <c r="L87" s="5"/>
      <c r="M87" s="5"/>
      <c r="N87" s="5"/>
      <c r="O87" s="5"/>
      <c r="P87" s="5"/>
      <c r="Q87" s="5"/>
    </row>
    <row r="88" spans="1:24" ht="18" customHeight="1" thickBot="1">
      <c r="A88" s="12"/>
      <c r="B88" s="3" t="s">
        <v>29</v>
      </c>
      <c r="C88" s="13" t="s">
        <v>30</v>
      </c>
      <c r="D88" s="3" t="s">
        <v>11</v>
      </c>
      <c r="E88" s="3">
        <f>'Calcul SF,HB,HB+SF '!S24</f>
        <v>0</v>
      </c>
      <c r="F88" s="286">
        <v>17</v>
      </c>
      <c r="G88" s="33">
        <f t="shared" si="3"/>
        <v>0</v>
      </c>
      <c r="H88" s="248">
        <f t="shared" si="4"/>
        <v>0</v>
      </c>
      <c r="I88" s="5"/>
      <c r="L88" s="5"/>
      <c r="M88" s="5"/>
      <c r="N88" s="5"/>
      <c r="O88" s="5"/>
      <c r="P88" s="5"/>
      <c r="Q88" s="5"/>
    </row>
    <row r="89" spans="1:24" ht="18" customHeight="1" thickBot="1">
      <c r="A89" s="161"/>
      <c r="B89" s="162" t="s">
        <v>31</v>
      </c>
      <c r="C89" s="163" t="s">
        <v>183</v>
      </c>
      <c r="D89" s="162" t="s">
        <v>11</v>
      </c>
      <c r="E89" s="162">
        <f>IF(OR('Calcul SF,HB,HB+SF '!U22=0),0,'Calcul SF,HB,HB+SF '!U22-1)</f>
        <v>0</v>
      </c>
      <c r="F89" s="288">
        <v>41</v>
      </c>
      <c r="G89" s="164">
        <f t="shared" si="3"/>
        <v>0</v>
      </c>
      <c r="H89" s="248">
        <f t="shared" si="4"/>
        <v>0</v>
      </c>
      <c r="I89" s="5"/>
      <c r="L89" s="5"/>
      <c r="M89" s="5"/>
      <c r="N89" s="5"/>
      <c r="O89" s="5"/>
      <c r="P89" s="5"/>
      <c r="Q89" s="5"/>
    </row>
    <row r="90" spans="1:24" ht="18" customHeight="1" thickTop="1" thickBot="1">
      <c r="A90" s="550" t="s">
        <v>32</v>
      </c>
      <c r="B90" s="544"/>
      <c r="C90" s="544"/>
      <c r="D90" s="14"/>
      <c r="E90" s="14"/>
      <c r="F90" s="14"/>
      <c r="G90" s="38"/>
      <c r="H90" s="248">
        <f>SUM(H91:H93)</f>
        <v>0</v>
      </c>
      <c r="I90" s="5"/>
      <c r="L90" s="5"/>
      <c r="M90" s="5"/>
      <c r="N90" s="5"/>
      <c r="O90" s="5"/>
      <c r="P90" s="5"/>
      <c r="Q90" s="5"/>
    </row>
    <row r="91" spans="1:24" ht="25.5" customHeight="1" thickTop="1" thickBot="1">
      <c r="A91" s="266"/>
      <c r="B91" s="267" t="s">
        <v>28</v>
      </c>
      <c r="C91" s="269" t="s">
        <v>182</v>
      </c>
      <c r="D91" s="267" t="s">
        <v>11</v>
      </c>
      <c r="E91" s="267">
        <f>'Calcul SF,HB,HB+SF '!AE22</f>
        <v>0</v>
      </c>
      <c r="F91" s="287">
        <v>179</v>
      </c>
      <c r="G91" s="270">
        <f>E91*F91</f>
        <v>0</v>
      </c>
      <c r="H91" s="248">
        <f>E91</f>
        <v>0</v>
      </c>
      <c r="I91" s="5"/>
      <c r="L91" s="5"/>
      <c r="M91" s="5"/>
      <c r="N91" s="5"/>
      <c r="O91" s="5"/>
      <c r="P91" s="5"/>
      <c r="Q91" s="5"/>
    </row>
    <row r="92" spans="1:24" ht="18" customHeight="1" thickBot="1">
      <c r="A92" s="12"/>
      <c r="B92" s="3" t="s">
        <v>29</v>
      </c>
      <c r="C92" s="13" t="s">
        <v>30</v>
      </c>
      <c r="D92" s="3" t="s">
        <v>11</v>
      </c>
      <c r="E92" s="3">
        <f>'Calcul SF,HB,HB+SF '!AD24</f>
        <v>0</v>
      </c>
      <c r="F92" s="286">
        <v>17</v>
      </c>
      <c r="G92" s="33">
        <f>E92*F92</f>
        <v>0</v>
      </c>
      <c r="H92" s="248">
        <f>E92</f>
        <v>0</v>
      </c>
      <c r="I92" s="5"/>
      <c r="L92" s="5"/>
      <c r="M92" s="5"/>
      <c r="N92" s="5"/>
      <c r="O92" s="5"/>
      <c r="P92" s="5"/>
      <c r="Q92" s="5"/>
    </row>
    <row r="93" spans="1:24" ht="18" customHeight="1" thickBot="1">
      <c r="A93" s="161"/>
      <c r="B93" s="162" t="s">
        <v>31</v>
      </c>
      <c r="C93" s="163" t="s">
        <v>183</v>
      </c>
      <c r="D93" s="162" t="s">
        <v>11</v>
      </c>
      <c r="E93" s="162">
        <f>IF(OR('Calcul SF,HB,HB+SF '!AF22=0),0,'Calcul SF,HB,HB+SF '!AF22-1)</f>
        <v>0</v>
      </c>
      <c r="F93" s="288">
        <v>41</v>
      </c>
      <c r="G93" s="164">
        <f>E93*F93</f>
        <v>0</v>
      </c>
      <c r="H93" s="248">
        <f>E93</f>
        <v>0</v>
      </c>
      <c r="I93" s="5"/>
      <c r="L93" s="5"/>
      <c r="M93" s="5"/>
      <c r="N93" s="5"/>
      <c r="O93" s="5"/>
      <c r="P93" s="5"/>
      <c r="Q93" s="5"/>
    </row>
    <row r="94" spans="1:24" ht="18" customHeight="1" thickTop="1" thickBot="1">
      <c r="A94" s="537" t="s">
        <v>25</v>
      </c>
      <c r="B94" s="546"/>
      <c r="C94" s="546"/>
      <c r="D94" s="546"/>
      <c r="E94" s="546"/>
      <c r="F94" s="546"/>
      <c r="G94" s="268">
        <f>SUM(G83:G93)</f>
        <v>0</v>
      </c>
      <c r="H94" s="251">
        <f>G94</f>
        <v>0</v>
      </c>
      <c r="I94" s="5"/>
      <c r="L94" s="5"/>
      <c r="M94" s="5"/>
      <c r="N94" s="5"/>
      <c r="O94" s="5"/>
      <c r="P94" s="5"/>
      <c r="Q94" s="5"/>
    </row>
    <row r="95" spans="1:24" ht="18" customHeight="1" thickTop="1" thickBot="1">
      <c r="A95" s="522" t="s">
        <v>157</v>
      </c>
      <c r="B95" s="523"/>
      <c r="C95" s="523"/>
      <c r="D95" s="523"/>
      <c r="E95" s="47">
        <v>0.05</v>
      </c>
      <c r="F95" s="42"/>
      <c r="G95" s="98">
        <f>G94*(1-E95)</f>
        <v>0</v>
      </c>
      <c r="H95" s="251">
        <f>G95</f>
        <v>0</v>
      </c>
      <c r="I95" s="5"/>
      <c r="L95" s="5"/>
      <c r="M95" s="5"/>
      <c r="N95" s="5"/>
      <c r="O95" s="5"/>
      <c r="P95" s="5"/>
      <c r="Q95" s="5"/>
    </row>
    <row r="96" spans="1:24" ht="18" customHeight="1" thickTop="1" thickBot="1">
      <c r="A96" s="547" t="s">
        <v>143</v>
      </c>
      <c r="B96" s="548"/>
      <c r="C96" s="548"/>
      <c r="D96" s="548"/>
      <c r="E96" s="548"/>
      <c r="F96" s="548"/>
      <c r="G96" s="99">
        <f>G95*1.21</f>
        <v>0</v>
      </c>
      <c r="H96" s="251">
        <f>G96</f>
        <v>0</v>
      </c>
      <c r="I96" s="5"/>
      <c r="L96" s="5"/>
      <c r="M96" s="5"/>
      <c r="N96" s="5"/>
      <c r="O96" s="5"/>
      <c r="P96" s="5"/>
      <c r="Q96" s="5"/>
    </row>
    <row r="97" spans="1:17" ht="18" customHeight="1" thickTop="1">
      <c r="A97" s="53"/>
      <c r="B97" s="53"/>
      <c r="C97" s="53"/>
      <c r="D97" s="53"/>
      <c r="E97" s="53"/>
      <c r="F97" s="53"/>
      <c r="G97" s="218"/>
      <c r="H97" s="251"/>
      <c r="I97" s="5"/>
      <c r="L97" s="5"/>
      <c r="M97" s="5"/>
      <c r="N97" s="5"/>
      <c r="O97" s="5"/>
      <c r="P97" s="5"/>
      <c r="Q97" s="5"/>
    </row>
    <row r="98" spans="1:17" ht="6.45" customHeight="1">
      <c r="A98" s="14"/>
      <c r="B98" s="15"/>
      <c r="C98" s="15"/>
      <c r="D98" s="15"/>
      <c r="E98" s="15"/>
      <c r="F98" s="15"/>
      <c r="G98" s="15"/>
      <c r="H98" s="251">
        <f>G116</f>
        <v>0</v>
      </c>
      <c r="I98" s="5"/>
      <c r="L98" s="5"/>
      <c r="M98" s="5"/>
      <c r="N98" s="5"/>
      <c r="O98" s="5"/>
      <c r="P98" s="5"/>
      <c r="Q98" s="5"/>
    </row>
    <row r="99" spans="1:17" ht="18" customHeight="1">
      <c r="A99" s="549" t="s">
        <v>381</v>
      </c>
      <c r="B99" s="549"/>
      <c r="C99" s="549"/>
      <c r="D99" s="549"/>
      <c r="E99" s="549"/>
      <c r="F99" s="549"/>
      <c r="G99" s="549"/>
      <c r="H99" s="251">
        <f>G116</f>
        <v>0</v>
      </c>
      <c r="I99" s="5"/>
      <c r="L99" s="5"/>
      <c r="M99" s="5"/>
      <c r="N99" s="5"/>
      <c r="O99" s="5"/>
      <c r="P99" s="5"/>
      <c r="Q99" s="5"/>
    </row>
    <row r="100" spans="1:17" ht="15.9" customHeight="1">
      <c r="A100" s="544"/>
      <c r="B100" s="544"/>
      <c r="C100" s="544"/>
      <c r="D100" s="544"/>
      <c r="E100" s="544"/>
      <c r="F100" s="544"/>
      <c r="G100" s="544"/>
      <c r="H100" s="251">
        <f>G116</f>
        <v>0</v>
      </c>
      <c r="I100" s="5"/>
      <c r="L100" s="5"/>
      <c r="M100" s="5"/>
      <c r="N100" s="5"/>
      <c r="O100" s="5"/>
      <c r="P100" s="5"/>
      <c r="Q100" s="5"/>
    </row>
    <row r="101" spans="1:17" ht="15.75" customHeight="1" thickBot="1">
      <c r="A101" s="16"/>
      <c r="B101" s="15"/>
      <c r="C101" s="15"/>
      <c r="D101" s="15"/>
      <c r="E101" s="15"/>
      <c r="F101" s="15"/>
      <c r="G101" s="15"/>
      <c r="H101" s="251">
        <f>G116</f>
        <v>0</v>
      </c>
      <c r="I101" s="5"/>
      <c r="L101" s="5"/>
      <c r="M101" s="5"/>
      <c r="N101" s="5"/>
      <c r="O101" s="5"/>
      <c r="P101" s="5"/>
      <c r="Q101" s="5"/>
    </row>
    <row r="102" spans="1:17" ht="18" customHeight="1" thickTop="1">
      <c r="A102" s="6" t="s">
        <v>1</v>
      </c>
      <c r="B102" s="518" t="s">
        <v>3</v>
      </c>
      <c r="C102" s="518" t="s">
        <v>4</v>
      </c>
      <c r="D102" s="518" t="s">
        <v>5</v>
      </c>
      <c r="E102" s="518" t="s">
        <v>6</v>
      </c>
      <c r="F102" s="7" t="s">
        <v>7</v>
      </c>
      <c r="G102" s="8" t="s">
        <v>9</v>
      </c>
      <c r="H102" s="251">
        <f>G116</f>
        <v>0</v>
      </c>
      <c r="I102" s="5"/>
      <c r="L102" s="5"/>
      <c r="M102" s="5"/>
      <c r="N102" s="5"/>
      <c r="O102" s="5"/>
      <c r="P102" s="5"/>
      <c r="Q102" s="5"/>
    </row>
    <row r="103" spans="1:17" ht="24" customHeight="1" thickBot="1">
      <c r="A103" s="17" t="s">
        <v>2</v>
      </c>
      <c r="B103" s="527"/>
      <c r="C103" s="527"/>
      <c r="D103" s="527"/>
      <c r="E103" s="527"/>
      <c r="F103" s="18" t="s">
        <v>8</v>
      </c>
      <c r="G103" s="19" t="s">
        <v>8</v>
      </c>
      <c r="H103" s="251">
        <f>G116</f>
        <v>0</v>
      </c>
      <c r="I103" s="5"/>
      <c r="L103" s="5"/>
      <c r="M103" s="5"/>
      <c r="N103" s="5"/>
      <c r="O103" s="5"/>
      <c r="P103" s="5"/>
      <c r="Q103" s="5"/>
    </row>
    <row r="104" spans="1:17" ht="18" customHeight="1" thickTop="1" thickBot="1">
      <c r="A104" s="531" t="s">
        <v>27</v>
      </c>
      <c r="B104" s="532"/>
      <c r="C104" s="532"/>
      <c r="D104" s="264"/>
      <c r="E104" s="264"/>
      <c r="F104" s="264"/>
      <c r="G104" s="8"/>
      <c r="H104" s="248">
        <f>SUM(H105:H107)</f>
        <v>0</v>
      </c>
      <c r="I104" s="5"/>
      <c r="L104" s="5"/>
      <c r="M104" s="5"/>
      <c r="N104" s="5"/>
      <c r="O104" s="5"/>
      <c r="P104" s="5"/>
      <c r="Q104" s="5"/>
    </row>
    <row r="105" spans="1:17" ht="27.9" customHeight="1" thickTop="1" thickBot="1">
      <c r="A105" s="266"/>
      <c r="B105" s="267" t="s">
        <v>376</v>
      </c>
      <c r="C105" s="269" t="s">
        <v>379</v>
      </c>
      <c r="D105" s="267" t="s">
        <v>11</v>
      </c>
      <c r="E105" s="267">
        <f>'Calcul SF,HB,HB+SF '!K22</f>
        <v>0</v>
      </c>
      <c r="F105" s="287">
        <v>229</v>
      </c>
      <c r="G105" s="270">
        <f>E105*F105</f>
        <v>0</v>
      </c>
      <c r="H105" s="248">
        <f>E105</f>
        <v>0</v>
      </c>
      <c r="I105" s="5"/>
      <c r="L105" s="5"/>
      <c r="M105" s="5"/>
      <c r="N105" s="5"/>
      <c r="O105" s="5"/>
      <c r="P105" s="5"/>
      <c r="Q105" s="5"/>
    </row>
    <row r="106" spans="1:17" ht="18" customHeight="1" thickBot="1">
      <c r="A106" s="12"/>
      <c r="B106" s="3" t="s">
        <v>29</v>
      </c>
      <c r="C106" s="13" t="s">
        <v>30</v>
      </c>
      <c r="D106" s="3" t="s">
        <v>11</v>
      </c>
      <c r="E106" s="3">
        <f>'Calcul SF,HB,HB+SF '!H24</f>
        <v>0</v>
      </c>
      <c r="F106" s="286">
        <v>17</v>
      </c>
      <c r="G106" s="33">
        <f t="shared" ref="G106:G115" si="5">E106*F106</f>
        <v>0</v>
      </c>
      <c r="H106" s="248">
        <f>E106</f>
        <v>0</v>
      </c>
      <c r="I106" s="5"/>
      <c r="L106" s="5"/>
      <c r="M106" s="5"/>
      <c r="N106" s="5"/>
      <c r="O106" s="5"/>
      <c r="P106" s="5"/>
      <c r="Q106" s="5"/>
    </row>
    <row r="107" spans="1:17" ht="18" customHeight="1" thickBot="1">
      <c r="A107" s="161"/>
      <c r="B107" s="162" t="s">
        <v>377</v>
      </c>
      <c r="C107" s="163" t="s">
        <v>378</v>
      </c>
      <c r="D107" s="162" t="s">
        <v>11</v>
      </c>
      <c r="E107" s="162">
        <f>'Calcul SF,HB,HB+SF '!J22</f>
        <v>0</v>
      </c>
      <c r="F107" s="303">
        <v>63</v>
      </c>
      <c r="G107" s="164">
        <f t="shared" si="5"/>
        <v>0</v>
      </c>
      <c r="H107" s="248">
        <f>E107</f>
        <v>0</v>
      </c>
      <c r="I107" s="5"/>
      <c r="L107" s="5"/>
      <c r="M107" s="5"/>
      <c r="N107" s="5"/>
      <c r="O107" s="5"/>
      <c r="P107" s="5"/>
      <c r="Q107" s="5"/>
    </row>
    <row r="108" spans="1:17" ht="18" customHeight="1" thickTop="1" thickBot="1">
      <c r="A108" s="550" t="s">
        <v>326</v>
      </c>
      <c r="B108" s="544"/>
      <c r="C108" s="544"/>
      <c r="D108" s="14"/>
      <c r="E108" s="14"/>
      <c r="F108" s="309"/>
      <c r="G108" s="38"/>
      <c r="H108" s="248">
        <f>SUM(H109:H111)</f>
        <v>0</v>
      </c>
      <c r="I108" s="5"/>
      <c r="L108" s="5"/>
      <c r="M108" s="5"/>
      <c r="N108" s="5"/>
      <c r="O108" s="5"/>
      <c r="P108" s="5"/>
      <c r="Q108" s="5"/>
    </row>
    <row r="109" spans="1:17" ht="27.9" customHeight="1" thickTop="1" thickBot="1">
      <c r="A109" s="266"/>
      <c r="B109" s="267" t="s">
        <v>376</v>
      </c>
      <c r="C109" s="269" t="s">
        <v>379</v>
      </c>
      <c r="D109" s="267" t="s">
        <v>11</v>
      </c>
      <c r="E109" s="267">
        <f>'Calcul SF,HB,HB+SF '!V22</f>
        <v>0</v>
      </c>
      <c r="F109" s="287">
        <v>229</v>
      </c>
      <c r="G109" s="270">
        <f>E109*F109</f>
        <v>0</v>
      </c>
      <c r="H109" s="248">
        <f>E109</f>
        <v>0</v>
      </c>
      <c r="I109" s="5"/>
      <c r="L109" s="5"/>
      <c r="M109" s="5"/>
      <c r="N109" s="5"/>
      <c r="O109" s="5"/>
      <c r="P109" s="5"/>
      <c r="Q109" s="5"/>
    </row>
    <row r="110" spans="1:17" ht="18" customHeight="1" thickBot="1">
      <c r="A110" s="12"/>
      <c r="B110" s="3" t="s">
        <v>29</v>
      </c>
      <c r="C110" s="13" t="s">
        <v>30</v>
      </c>
      <c r="D110" s="3" t="s">
        <v>11</v>
      </c>
      <c r="E110" s="3">
        <f>'Calcul SF,HB,HB+SF '!S24</f>
        <v>0</v>
      </c>
      <c r="F110" s="286">
        <v>17</v>
      </c>
      <c r="G110" s="33">
        <f>E110*F110</f>
        <v>0</v>
      </c>
      <c r="H110" s="248">
        <f>E110</f>
        <v>0</v>
      </c>
      <c r="I110" s="5"/>
      <c r="L110" s="5"/>
      <c r="M110" s="5"/>
      <c r="N110" s="5"/>
      <c r="O110" s="5"/>
      <c r="P110" s="5"/>
      <c r="Q110" s="5"/>
    </row>
    <row r="111" spans="1:17" ht="18" customHeight="1" thickBot="1">
      <c r="A111" s="161"/>
      <c r="B111" s="162" t="s">
        <v>377</v>
      </c>
      <c r="C111" s="163" t="s">
        <v>378</v>
      </c>
      <c r="D111" s="162" t="s">
        <v>11</v>
      </c>
      <c r="E111" s="162">
        <f>'Calcul SF,HB,HB+SF '!U22</f>
        <v>0</v>
      </c>
      <c r="F111" s="303">
        <v>63</v>
      </c>
      <c r="G111" s="164">
        <f>E111*F111</f>
        <v>0</v>
      </c>
      <c r="H111" s="248">
        <f>E111</f>
        <v>0</v>
      </c>
      <c r="I111" s="5"/>
      <c r="L111" s="5"/>
      <c r="M111" s="5"/>
      <c r="N111" s="5"/>
      <c r="O111" s="5"/>
      <c r="P111" s="5"/>
      <c r="Q111" s="5"/>
    </row>
    <row r="112" spans="1:17" ht="18" customHeight="1" thickTop="1" thickBot="1">
      <c r="A112" s="550" t="s">
        <v>32</v>
      </c>
      <c r="B112" s="544"/>
      <c r="C112" s="544"/>
      <c r="D112" s="14"/>
      <c r="E112" s="14"/>
      <c r="F112" s="310"/>
      <c r="G112" s="38"/>
      <c r="H112" s="248">
        <f>SUM(H113:H115)</f>
        <v>0</v>
      </c>
    </row>
    <row r="113" spans="1:26" ht="27.9" customHeight="1" thickTop="1" thickBot="1">
      <c r="A113" s="266"/>
      <c r="B113" s="267" t="s">
        <v>376</v>
      </c>
      <c r="C113" s="269" t="s">
        <v>379</v>
      </c>
      <c r="D113" s="267" t="s">
        <v>11</v>
      </c>
      <c r="E113" s="267">
        <f>'Calcul SF,HB,HB+SF '!AE22</f>
        <v>0</v>
      </c>
      <c r="F113" s="287">
        <v>229</v>
      </c>
      <c r="G113" s="270">
        <f t="shared" si="5"/>
        <v>0</v>
      </c>
      <c r="H113" s="248">
        <f>E113</f>
        <v>0</v>
      </c>
    </row>
    <row r="114" spans="1:26" ht="18" customHeight="1" thickBot="1">
      <c r="A114" s="12"/>
      <c r="B114" s="3" t="s">
        <v>29</v>
      </c>
      <c r="C114" s="13" t="s">
        <v>30</v>
      </c>
      <c r="D114" s="3" t="s">
        <v>11</v>
      </c>
      <c r="E114" s="3">
        <f>'Calcul SF,HB,HB+SF '!AD24</f>
        <v>0</v>
      </c>
      <c r="F114" s="286">
        <v>17</v>
      </c>
      <c r="G114" s="33">
        <f t="shared" si="5"/>
        <v>0</v>
      </c>
      <c r="H114" s="248">
        <f>E114</f>
        <v>0</v>
      </c>
    </row>
    <row r="115" spans="1:26" ht="18" customHeight="1" thickBot="1">
      <c r="A115" s="161"/>
      <c r="B115" s="162" t="s">
        <v>377</v>
      </c>
      <c r="C115" s="163" t="s">
        <v>378</v>
      </c>
      <c r="D115" s="162" t="s">
        <v>11</v>
      </c>
      <c r="E115" s="162">
        <f>'Calcul SF,HB,HB+SF '!AF22</f>
        <v>0</v>
      </c>
      <c r="F115" s="288">
        <v>63</v>
      </c>
      <c r="G115" s="164">
        <f t="shared" si="5"/>
        <v>0</v>
      </c>
      <c r="H115" s="248">
        <f>E115</f>
        <v>0</v>
      </c>
    </row>
    <row r="116" spans="1:26" ht="18" customHeight="1" thickTop="1" thickBot="1">
      <c r="A116" s="522" t="s">
        <v>25</v>
      </c>
      <c r="B116" s="523"/>
      <c r="C116" s="523"/>
      <c r="D116" s="523"/>
      <c r="E116" s="523"/>
      <c r="F116" s="523"/>
      <c r="G116" s="96">
        <f>SUM(G105:G115)</f>
        <v>0</v>
      </c>
      <c r="H116" s="251">
        <f>G116</f>
        <v>0</v>
      </c>
    </row>
    <row r="117" spans="1:26" ht="18" customHeight="1" thickTop="1" thickBot="1">
      <c r="A117" s="522" t="s">
        <v>157</v>
      </c>
      <c r="B117" s="539"/>
      <c r="C117" s="539"/>
      <c r="D117" s="539"/>
      <c r="E117" s="47">
        <v>0.05</v>
      </c>
      <c r="F117" s="42"/>
      <c r="G117" s="98">
        <f>G116*(1-E117)</f>
        <v>0</v>
      </c>
      <c r="H117" s="251">
        <f>G117</f>
        <v>0</v>
      </c>
    </row>
    <row r="118" spans="1:26" ht="18" customHeight="1" thickTop="1" thickBot="1">
      <c r="A118" s="522" t="s">
        <v>143</v>
      </c>
      <c r="B118" s="523"/>
      <c r="C118" s="523"/>
      <c r="D118" s="523"/>
      <c r="E118" s="523"/>
      <c r="F118" s="523"/>
      <c r="G118" s="98">
        <f>G117*1.21</f>
        <v>0</v>
      </c>
      <c r="H118" s="251">
        <f>G118</f>
        <v>0</v>
      </c>
    </row>
    <row r="119" spans="1:26" ht="18.75" customHeight="1" thickTop="1">
      <c r="A119" s="53"/>
      <c r="B119" s="53"/>
      <c r="C119" s="53"/>
      <c r="D119" s="53"/>
      <c r="E119" s="53"/>
      <c r="F119" s="53"/>
      <c r="G119" s="70"/>
      <c r="H119" s="251"/>
    </row>
    <row r="120" spans="1:26" ht="18.75" customHeight="1">
      <c r="A120" s="53"/>
      <c r="B120" s="53"/>
      <c r="C120" s="53"/>
      <c r="D120" s="53"/>
      <c r="E120" s="53"/>
      <c r="F120" s="53"/>
      <c r="G120" s="70"/>
      <c r="H120" s="251"/>
    </row>
    <row r="121" spans="1:26" ht="18.75" customHeight="1">
      <c r="A121" s="520" t="s">
        <v>335</v>
      </c>
      <c r="B121" s="521"/>
      <c r="C121" s="521"/>
      <c r="D121" s="521"/>
      <c r="E121" s="521"/>
      <c r="F121" s="521"/>
      <c r="G121" s="521"/>
      <c r="H121" s="251">
        <f>SUM(H123:H127)</f>
        <v>0</v>
      </c>
    </row>
    <row r="122" spans="1:26" ht="15" thickBot="1">
      <c r="A122" s="53"/>
      <c r="B122" s="53"/>
      <c r="C122" s="53"/>
      <c r="D122" s="53"/>
      <c r="E122" s="53"/>
      <c r="F122" s="53"/>
      <c r="G122" s="70"/>
      <c r="H122" s="251"/>
    </row>
    <row r="123" spans="1:26" ht="18" customHeight="1" thickTop="1">
      <c r="A123" s="6" t="s">
        <v>1</v>
      </c>
      <c r="B123" s="518"/>
      <c r="C123" s="518" t="s">
        <v>4</v>
      </c>
      <c r="D123" s="518" t="s">
        <v>5</v>
      </c>
      <c r="E123" s="518" t="s">
        <v>6</v>
      </c>
      <c r="F123" s="7" t="s">
        <v>7</v>
      </c>
      <c r="G123" s="8" t="s">
        <v>9</v>
      </c>
      <c r="H123" s="251">
        <f>G127</f>
        <v>0</v>
      </c>
    </row>
    <row r="124" spans="1:26" ht="18" customHeight="1" thickBot="1">
      <c r="A124" s="9" t="s">
        <v>2</v>
      </c>
      <c r="B124" s="519"/>
      <c r="C124" s="519"/>
      <c r="D124" s="519"/>
      <c r="E124" s="519"/>
      <c r="F124" s="10" t="s">
        <v>330</v>
      </c>
      <c r="G124" s="11" t="s">
        <v>330</v>
      </c>
      <c r="H124" s="251">
        <f>G127</f>
        <v>0</v>
      </c>
    </row>
    <row r="125" spans="1:26" ht="18" customHeight="1" thickTop="1" thickBot="1">
      <c r="A125" s="12"/>
      <c r="B125" s="3"/>
      <c r="C125" s="13" t="s">
        <v>329</v>
      </c>
      <c r="D125" s="3" t="s">
        <v>92</v>
      </c>
      <c r="E125" s="212">
        <f>'Calcul SF,HB,HB+SF '!B24</f>
        <v>0</v>
      </c>
      <c r="F125" s="150">
        <v>14</v>
      </c>
      <c r="G125" s="33">
        <f>E125*F125</f>
        <v>0</v>
      </c>
      <c r="H125" s="251">
        <f>E125</f>
        <v>0</v>
      </c>
    </row>
    <row r="126" spans="1:26" ht="18" customHeight="1" thickBot="1">
      <c r="A126" s="221"/>
      <c r="B126" s="222"/>
      <c r="C126" s="220" t="s">
        <v>332</v>
      </c>
      <c r="D126" s="222" t="s">
        <v>331</v>
      </c>
      <c r="E126" s="225">
        <f>IF(AND(E83=1, E87=1, E91=1), 3,
IF(OR(AND(E83=1, E87=1), AND(E83=1, E91=1), AND(E87=1, E91=1)), 2,
IF(OR(E83=1, E87=1, E91=1), 1, 0)))</f>
        <v>0</v>
      </c>
      <c r="F126" s="225">
        <v>235</v>
      </c>
      <c r="G126" s="262">
        <f>E126*F126</f>
        <v>0</v>
      </c>
      <c r="H126" s="251">
        <f>E126</f>
        <v>0</v>
      </c>
    </row>
    <row r="127" spans="1:26" ht="18" customHeight="1" thickTop="1" thickBot="1">
      <c r="A127" s="522" t="s">
        <v>334</v>
      </c>
      <c r="B127" s="523"/>
      <c r="C127" s="523"/>
      <c r="D127" s="523"/>
      <c r="E127" s="523"/>
      <c r="F127" s="523"/>
      <c r="G127" s="98">
        <f>SUM(G125:G126)</f>
        <v>0</v>
      </c>
      <c r="H127" s="251">
        <f>G127</f>
        <v>0</v>
      </c>
    </row>
    <row r="128" spans="1:26" ht="18" customHeight="1" thickTop="1">
      <c r="A128" s="53"/>
      <c r="B128" s="53"/>
      <c r="C128" s="53"/>
      <c r="D128" s="53"/>
      <c r="E128" s="53"/>
      <c r="F128" s="53"/>
      <c r="G128" s="70"/>
      <c r="H128" s="251">
        <f>SUM(H123:H127)</f>
        <v>0</v>
      </c>
      <c r="I128" s="556"/>
      <c r="J128" s="79"/>
      <c r="K128" s="80"/>
      <c r="L128" s="80"/>
      <c r="M128" s="78"/>
      <c r="N128" s="78"/>
      <c r="O128" s="552"/>
      <c r="P128" s="49"/>
      <c r="Q128" s="92"/>
      <c r="R128" s="92"/>
      <c r="S128" s="92"/>
      <c r="T128" s="69"/>
      <c r="U128" s="69"/>
      <c r="V128" s="93"/>
      <c r="W128" s="88"/>
      <c r="X128" s="89"/>
      <c r="Y128" s="89"/>
      <c r="Z128" s="69"/>
    </row>
    <row r="129" spans="1:19" ht="18.75" customHeight="1">
      <c r="A129" s="520" t="s">
        <v>336</v>
      </c>
      <c r="B129" s="521"/>
      <c r="C129" s="521"/>
      <c r="D129" s="521"/>
      <c r="E129" s="521"/>
      <c r="F129" s="521"/>
      <c r="G129" s="521"/>
      <c r="H129" s="251">
        <f>SUM(H131:H135)</f>
        <v>0</v>
      </c>
      <c r="I129" s="556"/>
      <c r="O129" s="552"/>
    </row>
    <row r="130" spans="1:19" ht="15" thickBot="1">
      <c r="A130" s="53"/>
      <c r="B130" s="53"/>
      <c r="C130" s="53"/>
      <c r="D130" s="53"/>
      <c r="E130" s="53"/>
      <c r="F130" s="53"/>
      <c r="G130" s="70"/>
      <c r="H130" s="251">
        <f>G135</f>
        <v>0</v>
      </c>
      <c r="I130" s="556"/>
      <c r="O130" s="552"/>
    </row>
    <row r="131" spans="1:19" ht="18" customHeight="1" thickTop="1">
      <c r="A131" s="6" t="s">
        <v>1</v>
      </c>
      <c r="B131" s="518"/>
      <c r="C131" s="518" t="s">
        <v>4</v>
      </c>
      <c r="D131" s="518" t="s">
        <v>5</v>
      </c>
      <c r="E131" s="518" t="s">
        <v>6</v>
      </c>
      <c r="F131" s="7" t="s">
        <v>7</v>
      </c>
      <c r="G131" s="8" t="s">
        <v>9</v>
      </c>
      <c r="H131" s="251">
        <f>G135</f>
        <v>0</v>
      </c>
      <c r="I131" s="556"/>
      <c r="O131" s="552"/>
    </row>
    <row r="132" spans="1:19" ht="18" customHeight="1" thickBot="1">
      <c r="A132" s="9" t="s">
        <v>2</v>
      </c>
      <c r="B132" s="519"/>
      <c r="C132" s="519"/>
      <c r="D132" s="519"/>
      <c r="E132" s="519"/>
      <c r="F132" s="10" t="s">
        <v>330</v>
      </c>
      <c r="G132" s="11" t="s">
        <v>330</v>
      </c>
      <c r="H132" s="251">
        <f>G135</f>
        <v>0</v>
      </c>
      <c r="I132" s="556"/>
      <c r="O132" s="552"/>
    </row>
    <row r="133" spans="1:19" ht="18" customHeight="1" thickTop="1" thickBot="1">
      <c r="A133" s="12"/>
      <c r="B133" s="3"/>
      <c r="C133" s="13" t="s">
        <v>329</v>
      </c>
      <c r="D133" s="3" t="s">
        <v>92</v>
      </c>
      <c r="E133" s="212">
        <f>'Calcul SF,HB,HB+SF '!B24</f>
        <v>0</v>
      </c>
      <c r="F133" s="150">
        <v>14</v>
      </c>
      <c r="G133" s="33">
        <f>E133*F133</f>
        <v>0</v>
      </c>
      <c r="H133" s="251">
        <f>E133</f>
        <v>0</v>
      </c>
      <c r="I133" s="556"/>
      <c r="O133" s="552"/>
    </row>
    <row r="134" spans="1:19" ht="18" customHeight="1" thickBot="1">
      <c r="A134" s="223"/>
      <c r="B134" s="224"/>
      <c r="C134" s="219" t="s">
        <v>333</v>
      </c>
      <c r="D134" s="227" t="s">
        <v>331</v>
      </c>
      <c r="E134" s="228">
        <f>IF(AND(E105=1, E109=1, E113=1), 3,
IF(OR(AND(E105=1, E109=1), AND(E105=1, E113=1), AND(E109=1, E113=1)), 2,
IF(OR(E105=1, E109=1, E113=1), 1, 0)))</f>
        <v>0</v>
      </c>
      <c r="F134" s="228">
        <v>196</v>
      </c>
      <c r="G134" s="263">
        <f>E134*F134</f>
        <v>0</v>
      </c>
      <c r="H134" s="251">
        <f>E134</f>
        <v>0</v>
      </c>
      <c r="I134" s="556"/>
      <c r="O134" s="552"/>
    </row>
    <row r="135" spans="1:19" ht="18" customHeight="1" thickTop="1" thickBot="1">
      <c r="A135" s="522" t="s">
        <v>334</v>
      </c>
      <c r="B135" s="523"/>
      <c r="C135" s="523"/>
      <c r="D135" s="523"/>
      <c r="E135" s="523"/>
      <c r="F135" s="523"/>
      <c r="G135" s="98">
        <f>SUM(G133:G134)</f>
        <v>0</v>
      </c>
      <c r="H135" s="251">
        <f>G135</f>
        <v>0</v>
      </c>
      <c r="I135" s="556"/>
      <c r="O135" s="552"/>
    </row>
    <row r="136" spans="1:19" ht="18" customHeight="1" thickTop="1">
      <c r="A136" s="14"/>
      <c r="B136" s="15"/>
      <c r="C136" s="15"/>
      <c r="D136" s="15"/>
      <c r="E136" s="15"/>
      <c r="F136" s="15"/>
      <c r="G136" s="15"/>
      <c r="I136" s="557"/>
      <c r="J136" s="81"/>
      <c r="K136" s="82"/>
      <c r="L136" s="80"/>
      <c r="M136" s="78"/>
      <c r="N136" s="78"/>
      <c r="O136" s="552"/>
      <c r="P136" s="49"/>
      <c r="Q136" s="52"/>
      <c r="R136" s="50"/>
      <c r="S136" s="50"/>
    </row>
    <row r="137" spans="1:19" ht="18" customHeight="1">
      <c r="A137" s="544" t="s">
        <v>169</v>
      </c>
      <c r="B137" s="544"/>
      <c r="C137" s="544"/>
      <c r="D137" s="544"/>
      <c r="E137" s="544"/>
      <c r="F137" s="544"/>
      <c r="G137" s="544"/>
      <c r="I137" s="557"/>
      <c r="J137" s="81"/>
      <c r="K137" s="82"/>
      <c r="L137" s="80"/>
      <c r="M137" s="78"/>
      <c r="N137" s="78"/>
      <c r="O137" s="552"/>
      <c r="P137" s="49"/>
      <c r="Q137" s="50"/>
      <c r="R137" s="50"/>
      <c r="S137" s="50"/>
    </row>
    <row r="138" spans="1:19" ht="18" customHeight="1">
      <c r="A138" s="559" t="s">
        <v>170</v>
      </c>
      <c r="B138" s="559"/>
      <c r="C138" s="559"/>
      <c r="D138" s="559"/>
      <c r="E138" s="559"/>
      <c r="F138" s="559"/>
      <c r="G138" s="559"/>
      <c r="I138" s="557"/>
      <c r="J138" s="79"/>
      <c r="K138" s="80"/>
      <c r="L138" s="80"/>
      <c r="M138" s="78"/>
      <c r="N138" s="78"/>
      <c r="O138" s="552"/>
      <c r="P138" s="49"/>
      <c r="Q138" s="50"/>
      <c r="R138" s="50"/>
      <c r="S138" s="50"/>
    </row>
    <row r="139" spans="1:19" ht="27" customHeight="1">
      <c r="A139" s="559" t="s">
        <v>177</v>
      </c>
      <c r="B139" s="559"/>
      <c r="C139" s="559"/>
      <c r="D139" s="559"/>
      <c r="E139" s="559"/>
      <c r="F139" s="559"/>
      <c r="G139" s="559"/>
      <c r="I139" s="557"/>
      <c r="J139" s="79"/>
      <c r="K139" s="80"/>
      <c r="L139" s="80"/>
      <c r="M139" s="78"/>
      <c r="N139" s="78"/>
      <c r="O139" s="552"/>
      <c r="P139" s="49"/>
      <c r="Q139" s="50"/>
      <c r="R139" s="50"/>
      <c r="S139" s="50"/>
    </row>
    <row r="140" spans="1:19" ht="32.25" customHeight="1">
      <c r="A140" s="559" t="s">
        <v>328</v>
      </c>
      <c r="B140" s="559"/>
      <c r="C140" s="559"/>
      <c r="D140" s="559"/>
      <c r="E140" s="559"/>
      <c r="F140" s="559"/>
      <c r="G140" s="559"/>
      <c r="I140" s="558"/>
      <c r="J140" s="558"/>
      <c r="K140" s="558"/>
      <c r="L140" s="83"/>
      <c r="M140" s="84"/>
      <c r="N140" s="84"/>
      <c r="O140" s="51"/>
      <c r="P140" s="49"/>
      <c r="Q140" s="50"/>
      <c r="R140" s="50"/>
      <c r="S140" s="50"/>
    </row>
    <row r="141" spans="1:19" ht="30.75" customHeight="1">
      <c r="A141" s="559" t="s">
        <v>174</v>
      </c>
      <c r="B141" s="559"/>
      <c r="C141" s="559"/>
      <c r="D141" s="559"/>
      <c r="E141" s="559"/>
      <c r="F141" s="559"/>
      <c r="G141" s="559"/>
      <c r="I141" s="556"/>
      <c r="J141" s="79"/>
      <c r="K141" s="80"/>
      <c r="L141" s="80"/>
      <c r="M141" s="78"/>
      <c r="N141" s="78"/>
      <c r="O141" s="551"/>
      <c r="P141" s="49"/>
      <c r="Q141" s="50"/>
      <c r="R141" s="50"/>
      <c r="S141" s="50"/>
    </row>
    <row r="142" spans="1:19" ht="18" customHeight="1">
      <c r="A142" s="16"/>
      <c r="B142" s="16"/>
      <c r="C142" s="16"/>
      <c r="D142" s="16"/>
      <c r="E142" s="16"/>
      <c r="F142" s="16"/>
      <c r="G142" s="16"/>
      <c r="I142" s="557"/>
      <c r="J142" s="79"/>
      <c r="K142" s="80"/>
      <c r="L142" s="80"/>
      <c r="M142" s="78"/>
      <c r="N142" s="78"/>
      <c r="O142" s="552"/>
      <c r="P142" s="49"/>
      <c r="Q142" s="50"/>
      <c r="R142" s="50"/>
      <c r="S142" s="50"/>
    </row>
    <row r="143" spans="1:19" ht="18" customHeight="1">
      <c r="A143" s="560" t="s">
        <v>142</v>
      </c>
      <c r="B143" s="560"/>
      <c r="C143" s="560"/>
      <c r="G143" s="44"/>
      <c r="I143" s="557"/>
      <c r="J143" s="79"/>
      <c r="K143" s="80"/>
      <c r="L143" s="80"/>
      <c r="M143" s="78"/>
      <c r="N143" s="78"/>
      <c r="O143" s="552"/>
      <c r="P143" s="49"/>
      <c r="Q143" s="50"/>
      <c r="R143" s="50"/>
      <c r="S143" s="50"/>
    </row>
    <row r="144" spans="1:19" ht="18" customHeight="1">
      <c r="A144" s="561" t="s">
        <v>324</v>
      </c>
      <c r="B144" s="561"/>
      <c r="C144" s="561"/>
      <c r="D144" s="196"/>
      <c r="E144" s="210"/>
      <c r="F144" s="210"/>
      <c r="G144" s="211"/>
      <c r="I144" s="557"/>
      <c r="J144" s="79"/>
      <c r="K144" s="80"/>
      <c r="L144" s="80"/>
      <c r="M144" s="78"/>
      <c r="N144" s="78"/>
      <c r="O144" s="552"/>
      <c r="P144" s="49"/>
      <c r="Q144" s="50"/>
      <c r="R144" s="50"/>
      <c r="S144" s="50"/>
    </row>
    <row r="145" spans="1:21" ht="18" customHeight="1">
      <c r="A145" s="544" t="s">
        <v>56</v>
      </c>
      <c r="B145" s="544"/>
      <c r="C145" s="544"/>
      <c r="D145" s="544"/>
      <c r="E145" s="544"/>
      <c r="F145" s="544"/>
      <c r="G145" s="544"/>
      <c r="I145" s="557"/>
      <c r="J145" s="79"/>
      <c r="K145" s="80"/>
      <c r="L145" s="80"/>
      <c r="M145" s="78"/>
      <c r="N145" s="78"/>
      <c r="O145" s="552"/>
      <c r="P145" s="49"/>
      <c r="Q145" s="50"/>
      <c r="R145" s="50"/>
      <c r="S145" s="50"/>
    </row>
    <row r="146" spans="1:21" ht="18" customHeight="1">
      <c r="A146" s="544" t="s">
        <v>93</v>
      </c>
      <c r="B146" s="544"/>
      <c r="C146" s="544"/>
      <c r="D146" s="544"/>
      <c r="E146" s="544"/>
      <c r="F146" s="544"/>
      <c r="G146" s="544"/>
      <c r="I146" s="557"/>
      <c r="J146" s="79"/>
      <c r="K146" s="80"/>
      <c r="L146" s="80"/>
      <c r="M146" s="78"/>
      <c r="N146" s="78"/>
      <c r="O146" s="552"/>
      <c r="P146" s="49"/>
      <c r="Q146" s="50"/>
      <c r="R146" s="50"/>
      <c r="S146" s="50"/>
      <c r="U146" s="69"/>
    </row>
    <row r="147" spans="1:21" ht="18" customHeight="1">
      <c r="A147" s="544" t="s">
        <v>57</v>
      </c>
      <c r="B147" s="544"/>
      <c r="C147" s="544"/>
      <c r="D147" s="544"/>
      <c r="E147" s="544"/>
      <c r="F147" s="544"/>
      <c r="G147" s="544"/>
      <c r="I147" s="557"/>
      <c r="J147" s="79"/>
      <c r="K147" s="80"/>
      <c r="L147" s="80"/>
      <c r="M147" s="78"/>
      <c r="N147" s="78"/>
      <c r="O147" s="552"/>
      <c r="Q147" s="50"/>
      <c r="R147" s="50"/>
      <c r="S147" s="50"/>
    </row>
    <row r="148" spans="1:21" ht="18" customHeight="1">
      <c r="A148" s="16"/>
      <c r="B148" s="15"/>
      <c r="C148" s="15"/>
      <c r="D148" s="15"/>
      <c r="E148" s="15"/>
      <c r="F148" s="15"/>
      <c r="G148" s="15"/>
      <c r="I148" s="557"/>
      <c r="J148" s="79"/>
      <c r="K148" s="80"/>
      <c r="L148" s="80"/>
      <c r="M148" s="78"/>
      <c r="N148" s="78"/>
      <c r="O148" s="552"/>
      <c r="P148" s="49"/>
      <c r="Q148" s="50"/>
      <c r="R148" s="50"/>
      <c r="S148" s="50"/>
    </row>
    <row r="149" spans="1:21" ht="18" customHeight="1">
      <c r="A149" s="15"/>
      <c r="B149" s="21" t="s">
        <v>33</v>
      </c>
      <c r="C149" s="22"/>
      <c r="D149" s="22"/>
      <c r="E149" s="22"/>
      <c r="F149" s="22"/>
      <c r="G149" s="22"/>
      <c r="I149" s="557"/>
      <c r="J149" s="79"/>
      <c r="K149" s="80"/>
      <c r="L149" s="80"/>
      <c r="M149" s="78"/>
      <c r="N149" s="78"/>
      <c r="O149" s="552"/>
      <c r="P149" s="49"/>
      <c r="Q149" s="50"/>
      <c r="R149" s="50"/>
      <c r="S149" s="50"/>
    </row>
    <row r="150" spans="1:21" ht="18" customHeight="1">
      <c r="A150" s="15"/>
      <c r="B150" s="23"/>
      <c r="C150" s="24"/>
      <c r="D150" s="24"/>
      <c r="E150" s="24"/>
      <c r="F150" s="24"/>
      <c r="G150" s="24"/>
      <c r="I150" s="557"/>
      <c r="J150" s="79"/>
      <c r="K150" s="80"/>
      <c r="L150" s="80"/>
      <c r="M150" s="78"/>
      <c r="N150" s="78"/>
      <c r="O150" s="552"/>
      <c r="P150" s="49"/>
      <c r="Q150" s="50"/>
      <c r="R150" s="50"/>
      <c r="S150" s="50"/>
    </row>
    <row r="151" spans="1:21" ht="18" customHeight="1">
      <c r="A151" s="25"/>
      <c r="B151" s="553"/>
      <c r="C151" s="530"/>
      <c r="D151" s="25"/>
      <c r="E151" s="25"/>
      <c r="F151" s="25"/>
      <c r="G151" s="25"/>
      <c r="I151" s="557"/>
      <c r="J151" s="81"/>
      <c r="K151" s="82"/>
      <c r="L151" s="80"/>
      <c r="M151" s="78"/>
      <c r="N151" s="85"/>
      <c r="O151" s="552"/>
      <c r="P151" s="49"/>
      <c r="Q151" s="50"/>
      <c r="R151" s="50"/>
      <c r="S151" s="50"/>
    </row>
    <row r="152" spans="1:21" ht="15.75" customHeight="1">
      <c r="A152" s="25"/>
      <c r="B152" s="553" t="s">
        <v>34</v>
      </c>
      <c r="C152" s="530"/>
      <c r="D152" s="25"/>
      <c r="E152" s="25"/>
      <c r="F152" s="25"/>
      <c r="G152" s="25"/>
      <c r="I152" s="557"/>
      <c r="J152" s="77"/>
      <c r="K152" s="85"/>
      <c r="L152" s="80"/>
      <c r="M152" s="78"/>
      <c r="N152" s="85"/>
      <c r="O152" s="552"/>
      <c r="P152" s="49"/>
      <c r="Q152" s="50"/>
      <c r="R152" s="50"/>
      <c r="S152" s="50"/>
    </row>
    <row r="153" spans="1:21" ht="18" customHeight="1">
      <c r="A153" s="25"/>
      <c r="B153" s="25"/>
      <c r="C153" s="25"/>
      <c r="D153" s="25"/>
      <c r="E153" s="25"/>
      <c r="F153" s="25"/>
      <c r="G153" s="25"/>
      <c r="I153" s="558"/>
      <c r="J153" s="558"/>
      <c r="K153" s="558"/>
      <c r="L153" s="95"/>
      <c r="M153" s="84"/>
      <c r="N153" s="84"/>
      <c r="Q153" s="50"/>
      <c r="R153" s="50"/>
      <c r="S153" s="50"/>
    </row>
    <row r="154" spans="1:21" ht="18" customHeight="1">
      <c r="I154" s="554"/>
      <c r="J154" s="555"/>
      <c r="K154" s="555"/>
      <c r="L154" s="84"/>
      <c r="M154" s="84"/>
      <c r="N154" s="50"/>
      <c r="O154" s="50"/>
      <c r="P154" s="50"/>
      <c r="Q154" s="50"/>
      <c r="R154" s="50"/>
      <c r="S154" s="50"/>
    </row>
  </sheetData>
  <autoFilter ref="H21:H135" xr:uid="{AD970968-5058-40FA-AC08-E3A82F7B1347}"/>
  <mergeCells count="77">
    <mergeCell ref="I154:K154"/>
    <mergeCell ref="A146:G146"/>
    <mergeCell ref="A147:G147"/>
    <mergeCell ref="I128:I139"/>
    <mergeCell ref="I153:K153"/>
    <mergeCell ref="A140:G140"/>
    <mergeCell ref="A137:G137"/>
    <mergeCell ref="A138:G138"/>
    <mergeCell ref="A139:G139"/>
    <mergeCell ref="B151:C151"/>
    <mergeCell ref="A141:G141"/>
    <mergeCell ref="A143:C143"/>
    <mergeCell ref="A144:C144"/>
    <mergeCell ref="A145:G145"/>
    <mergeCell ref="I140:K140"/>
    <mergeCell ref="I141:I152"/>
    <mergeCell ref="O141:O152"/>
    <mergeCell ref="O128:O139"/>
    <mergeCell ref="B152:C152"/>
    <mergeCell ref="A100:G100"/>
    <mergeCell ref="A117:D117"/>
    <mergeCell ref="A118:F118"/>
    <mergeCell ref="A104:C104"/>
    <mergeCell ref="B102:B103"/>
    <mergeCell ref="C102:C103"/>
    <mergeCell ref="D102:D103"/>
    <mergeCell ref="E102:E103"/>
    <mergeCell ref="A116:F116"/>
    <mergeCell ref="A112:C112"/>
    <mergeCell ref="A135:F135"/>
    <mergeCell ref="A108:C108"/>
    <mergeCell ref="B123:B124"/>
    <mergeCell ref="A94:F94"/>
    <mergeCell ref="A95:D95"/>
    <mergeCell ref="A96:F96"/>
    <mergeCell ref="A99:G99"/>
    <mergeCell ref="A86:C86"/>
    <mergeCell ref="A90:C90"/>
    <mergeCell ref="A7:G7"/>
    <mergeCell ref="A82:C82"/>
    <mergeCell ref="A77:G77"/>
    <mergeCell ref="A22:F22"/>
    <mergeCell ref="Q22:U22"/>
    <mergeCell ref="A67:D67"/>
    <mergeCell ref="A68:D68"/>
    <mergeCell ref="A69:D69"/>
    <mergeCell ref="A75:G75"/>
    <mergeCell ref="A29:D29"/>
    <mergeCell ref="A78:G78"/>
    <mergeCell ref="B80:B81"/>
    <mergeCell ref="C80:C81"/>
    <mergeCell ref="D80:D81"/>
    <mergeCell ref="E80:E81"/>
    <mergeCell ref="A9:G9"/>
    <mergeCell ref="A1:C1"/>
    <mergeCell ref="A3:G3"/>
    <mergeCell ref="A4:G4"/>
    <mergeCell ref="A5:G5"/>
    <mergeCell ref="A6:G6"/>
    <mergeCell ref="A10:G10"/>
    <mergeCell ref="A19:G19"/>
    <mergeCell ref="B20:B21"/>
    <mergeCell ref="C20:C21"/>
    <mergeCell ref="D20:D21"/>
    <mergeCell ref="E20:E21"/>
    <mergeCell ref="A11:C11"/>
    <mergeCell ref="A18:G18"/>
    <mergeCell ref="C123:C124"/>
    <mergeCell ref="D123:D124"/>
    <mergeCell ref="E123:E124"/>
    <mergeCell ref="A121:G121"/>
    <mergeCell ref="A127:F127"/>
    <mergeCell ref="B131:B132"/>
    <mergeCell ref="C131:C132"/>
    <mergeCell ref="D131:D132"/>
    <mergeCell ref="E131:E132"/>
    <mergeCell ref="A129:G129"/>
  </mergeCells>
  <phoneticPr fontId="16" type="noConversion"/>
  <hyperlinks>
    <hyperlink ref="A144" r:id="rId1" xr:uid="{30D00688-77F7-4162-9F97-CA5C027E0965}"/>
    <hyperlink ref="B152" r:id="rId2" xr:uid="{EEF946E0-C9C9-4BBB-989C-76DA2EB59ACC}"/>
  </hyperlinks>
  <pageMargins left="0.6692913385826772" right="0.23622047244094491" top="1.1417322834645669" bottom="0.94488188976377963" header="0.19685039370078741" footer="0.19685039370078741"/>
  <pageSetup paperSize="9" scale="84" orientation="portrait" r:id="rId3"/>
  <headerFooter scaleWithDoc="0" alignWithMargins="0">
    <oddHeader>&amp;L&amp;G&amp;R&amp;G</oddHeader>
    <oddFooter xml:space="preserve">&amp;L
RO33404978
J40/8589/2014
RO56INGB0000999915150915
ING BANK NV&amp;CStr. Învingătorilor nr. 27, Sector 3, București
Tel :  (+4) 0314.361.836
Mobil:  (+4) 0724.204.888
             (+4) 0766.367.287&amp;REmail: 
comercial@magnumheating.ro
</oddFooter>
  </headerFooter>
  <rowBreaks count="1" manualBreakCount="1">
    <brk id="73" max="6" man="1"/>
  </rowBreaks>
  <drawing r:id="rId4"/>
  <legacyDrawingHF r:id="rId5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F533A-8257-420B-8677-05E7A7ED237F}">
  <sheetPr>
    <tabColor theme="7" tint="0.39997558519241921"/>
  </sheetPr>
  <dimension ref="A1:Z164"/>
  <sheetViews>
    <sheetView zoomScaleNormal="100" zoomScaleSheetLayoutView="100" workbookViewId="0">
      <selection activeCell="K22" sqref="K22"/>
    </sheetView>
  </sheetViews>
  <sheetFormatPr defaultRowHeight="14.4"/>
  <cols>
    <col min="1" max="1" width="4.44140625" customWidth="1"/>
    <col min="2" max="2" width="11" customWidth="1"/>
    <col min="3" max="3" width="59" customWidth="1"/>
    <col min="4" max="4" width="5.33203125" customWidth="1"/>
    <col min="5" max="5" width="6" customWidth="1"/>
    <col min="6" max="6" width="11.44140625" customWidth="1"/>
    <col min="7" max="7" width="14.88671875" customWidth="1"/>
    <col min="8" max="8" width="6.88671875" style="244" customWidth="1"/>
    <col min="9" max="9" width="8.88671875" customWidth="1"/>
    <col min="10" max="10" width="13.5546875" customWidth="1"/>
    <col min="11" max="11" width="21.44140625" customWidth="1"/>
    <col min="12" max="12" width="8.5546875" customWidth="1"/>
    <col min="14" max="14" width="7.109375" customWidth="1"/>
    <col min="15" max="15" width="11.44140625" customWidth="1"/>
    <col min="16" max="16" width="13.5546875" customWidth="1"/>
    <col min="17" max="17" width="15.6640625" customWidth="1"/>
    <col min="18" max="18" width="14.109375" customWidth="1"/>
    <col min="19" max="19" width="14.88671875" customWidth="1"/>
  </cols>
  <sheetData>
    <row r="1" spans="1:11">
      <c r="A1" s="529" t="s">
        <v>597</v>
      </c>
      <c r="B1" s="530"/>
      <c r="C1" s="530"/>
    </row>
    <row r="2" spans="1:11">
      <c r="A2" s="1"/>
    </row>
    <row r="3" spans="1:11">
      <c r="A3" s="529" t="s">
        <v>168</v>
      </c>
      <c r="B3" s="530"/>
      <c r="C3" s="530"/>
    </row>
    <row r="4" spans="1:11">
      <c r="A4" s="529" t="s">
        <v>176</v>
      </c>
      <c r="B4" s="530"/>
      <c r="C4" s="530"/>
    </row>
    <row r="5" spans="1:11">
      <c r="A5" s="529" t="s">
        <v>91</v>
      </c>
      <c r="B5" s="530"/>
      <c r="C5" s="530"/>
    </row>
    <row r="6" spans="1:11">
      <c r="A6" s="529" t="s">
        <v>82</v>
      </c>
      <c r="B6" s="530"/>
      <c r="C6" s="530"/>
    </row>
    <row r="7" spans="1:11">
      <c r="A7" s="529" t="s">
        <v>172</v>
      </c>
      <c r="B7" s="530"/>
      <c r="C7" s="530"/>
    </row>
    <row r="9" spans="1:11" ht="18.75" customHeight="1">
      <c r="A9" s="545" t="s">
        <v>0</v>
      </c>
      <c r="B9" s="545"/>
      <c r="C9" s="545"/>
      <c r="D9" s="545"/>
      <c r="E9" s="545"/>
      <c r="F9" s="545"/>
      <c r="G9" s="545"/>
      <c r="H9" s="246"/>
      <c r="I9" s="4"/>
      <c r="J9" s="5"/>
      <c r="K9" s="5"/>
    </row>
    <row r="10" spans="1:11" ht="18.75" customHeight="1">
      <c r="A10" s="524" t="s">
        <v>215</v>
      </c>
      <c r="B10" s="524"/>
      <c r="C10" s="524"/>
      <c r="D10" s="524"/>
      <c r="E10" s="524"/>
      <c r="F10" s="524"/>
      <c r="G10" s="524"/>
      <c r="H10" s="246"/>
      <c r="I10" s="4"/>
      <c r="J10" s="5"/>
      <c r="K10" s="5"/>
    </row>
    <row r="11" spans="1:11" ht="19.5" customHeight="1">
      <c r="A11" s="524" t="s">
        <v>246</v>
      </c>
      <c r="B11" s="528"/>
      <c r="C11" s="528"/>
      <c r="D11" s="148">
        <f>'Calcul DF,DF+SF'!L24</f>
        <v>0</v>
      </c>
      <c r="E11" s="174" t="s">
        <v>247</v>
      </c>
      <c r="F11" s="4"/>
      <c r="G11" s="4"/>
      <c r="H11" s="246"/>
      <c r="I11" s="4"/>
      <c r="J11" s="5"/>
      <c r="K11" s="5"/>
    </row>
    <row r="12" spans="1:11" ht="27.9" customHeight="1">
      <c r="A12" s="4"/>
      <c r="B12" s="4"/>
      <c r="C12" s="4"/>
      <c r="D12" s="4"/>
      <c r="E12" s="4"/>
      <c r="F12" s="4"/>
      <c r="G12" s="4"/>
      <c r="H12" s="246"/>
      <c r="I12" s="4"/>
      <c r="J12" s="5"/>
      <c r="K12" s="5"/>
    </row>
    <row r="13" spans="1:11" ht="27.9" customHeight="1">
      <c r="A13" s="4"/>
      <c r="B13" s="4"/>
      <c r="C13" s="4"/>
      <c r="D13" s="4"/>
      <c r="E13" s="4"/>
      <c r="F13" s="4"/>
      <c r="G13" s="4"/>
      <c r="H13" s="246"/>
      <c r="I13" s="4"/>
      <c r="J13" s="5"/>
      <c r="K13" s="5"/>
    </row>
    <row r="14" spans="1:11">
      <c r="A14" s="4"/>
      <c r="B14" s="4"/>
      <c r="C14" s="4"/>
      <c r="D14" s="4"/>
      <c r="E14" s="4"/>
      <c r="F14" s="4"/>
      <c r="G14" s="4"/>
      <c r="H14" s="246"/>
      <c r="I14" s="4"/>
      <c r="J14" s="5"/>
      <c r="K14" s="5"/>
    </row>
    <row r="15" spans="1:11" ht="32.25" customHeight="1">
      <c r="A15" s="4"/>
      <c r="B15" s="4"/>
      <c r="C15" s="4"/>
      <c r="D15" s="4"/>
      <c r="E15" s="4"/>
      <c r="F15" s="4"/>
      <c r="G15" s="4"/>
      <c r="H15" s="246"/>
      <c r="I15" s="4"/>
      <c r="J15" s="5"/>
      <c r="K15" s="5"/>
    </row>
    <row r="16" spans="1:11" ht="32.25" customHeight="1">
      <c r="A16" s="4"/>
      <c r="B16" s="4"/>
      <c r="C16" s="4"/>
      <c r="D16" s="4"/>
      <c r="E16" s="4"/>
      <c r="F16" s="4"/>
      <c r="G16" s="4"/>
      <c r="H16" s="246"/>
      <c r="I16" s="4"/>
      <c r="J16" s="5"/>
      <c r="K16" s="5"/>
    </row>
    <row r="17" spans="1:11" ht="21" customHeight="1">
      <c r="A17" s="4"/>
      <c r="B17" s="4"/>
      <c r="C17" s="4"/>
      <c r="D17" s="4"/>
      <c r="E17" s="4"/>
      <c r="F17" s="4"/>
      <c r="G17" s="4"/>
      <c r="H17" s="246"/>
      <c r="I17" s="4"/>
      <c r="J17" s="5"/>
      <c r="K17" s="5"/>
    </row>
    <row r="18" spans="1:11" ht="21.6" thickBot="1">
      <c r="A18" s="525" t="s">
        <v>140</v>
      </c>
      <c r="B18" s="526"/>
      <c r="C18" s="526"/>
      <c r="D18" s="526"/>
      <c r="E18" s="526"/>
      <c r="F18" s="526"/>
      <c r="G18" s="526"/>
      <c r="H18" s="247"/>
      <c r="I18" s="5"/>
      <c r="J18" s="5"/>
      <c r="K18" s="5"/>
    </row>
    <row r="19" spans="1:11" ht="18.75" customHeight="1" thickTop="1">
      <c r="A19" s="6" t="s">
        <v>1</v>
      </c>
      <c r="B19" s="518" t="s">
        <v>3</v>
      </c>
      <c r="C19" s="518" t="s">
        <v>4</v>
      </c>
      <c r="D19" s="518" t="s">
        <v>5</v>
      </c>
      <c r="E19" s="518" t="s">
        <v>6</v>
      </c>
      <c r="F19" s="7" t="s">
        <v>7</v>
      </c>
      <c r="G19" s="8" t="s">
        <v>9</v>
      </c>
      <c r="H19" s="247"/>
      <c r="I19" s="5"/>
      <c r="J19" s="5"/>
      <c r="K19" s="5"/>
    </row>
    <row r="20" spans="1:11" ht="26.25" customHeight="1" thickBot="1">
      <c r="A20" s="17" t="s">
        <v>2</v>
      </c>
      <c r="B20" s="527"/>
      <c r="C20" s="527"/>
      <c r="D20" s="527"/>
      <c r="E20" s="527"/>
      <c r="F20" s="18" t="s">
        <v>8</v>
      </c>
      <c r="G20" s="19" t="s">
        <v>8</v>
      </c>
      <c r="H20" s="247"/>
      <c r="I20" s="5"/>
      <c r="J20" s="5"/>
      <c r="K20" s="5"/>
    </row>
    <row r="21" spans="1:11" ht="20.100000000000001" customHeight="1" thickTop="1" thickBot="1">
      <c r="A21" s="564" t="s">
        <v>391</v>
      </c>
      <c r="B21" s="578"/>
      <c r="C21" s="578"/>
      <c r="D21" s="146">
        <f>'Calcul DF,DF+SF'!A24</f>
        <v>0</v>
      </c>
      <c r="E21" s="75"/>
      <c r="F21" s="75"/>
      <c r="G21" s="39"/>
      <c r="H21" s="248">
        <f>SUM(H22:H23)</f>
        <v>0</v>
      </c>
      <c r="I21" s="5"/>
      <c r="J21" s="5"/>
      <c r="K21" s="5"/>
    </row>
    <row r="22" spans="1:11" ht="27.9" customHeight="1" thickTop="1" thickBot="1">
      <c r="A22" s="12"/>
      <c r="B22" s="2" t="s">
        <v>88</v>
      </c>
      <c r="C22" s="13" t="s">
        <v>95</v>
      </c>
      <c r="D22" s="2" t="s">
        <v>13</v>
      </c>
      <c r="E22" s="108">
        <f>'Calcul DF,DF+SF'!E24</f>
        <v>0</v>
      </c>
      <c r="F22" s="285">
        <v>120</v>
      </c>
      <c r="G22" s="33">
        <f t="shared" ref="G22:G74" si="0">E22*F22</f>
        <v>0</v>
      </c>
      <c r="H22" s="248">
        <f t="shared" ref="H22:H65" si="1">E22</f>
        <v>0</v>
      </c>
      <c r="I22" s="5"/>
      <c r="J22" s="5"/>
      <c r="K22" s="5"/>
    </row>
    <row r="23" spans="1:11" ht="27.9" customHeight="1" thickBot="1">
      <c r="A23" s="35"/>
      <c r="B23" s="36" t="s">
        <v>79</v>
      </c>
      <c r="C23" s="37" t="s">
        <v>94</v>
      </c>
      <c r="D23" s="36" t="s">
        <v>11</v>
      </c>
      <c r="E23" s="136">
        <f>'Calcul DF,DF+SF'!M24</f>
        <v>0</v>
      </c>
      <c r="F23" s="303">
        <v>3.6</v>
      </c>
      <c r="G23" s="38">
        <f t="shared" si="0"/>
        <v>0</v>
      </c>
      <c r="H23" s="248">
        <f t="shared" si="1"/>
        <v>0</v>
      </c>
      <c r="I23" s="5"/>
      <c r="J23" s="5"/>
      <c r="K23" s="5"/>
    </row>
    <row r="24" spans="1:11" ht="20.100000000000001" customHeight="1" thickTop="1" thickBot="1">
      <c r="A24" s="534" t="s">
        <v>250</v>
      </c>
      <c r="B24" s="578"/>
      <c r="C24" s="578"/>
      <c r="D24" s="147">
        <f>'Calcul DF,DF+SF'!B24</f>
        <v>0</v>
      </c>
      <c r="E24" s="144"/>
      <c r="F24" s="144"/>
      <c r="G24" s="145"/>
      <c r="H24" s="248">
        <f>SUM(H25:H30)</f>
        <v>0</v>
      </c>
      <c r="I24" s="5"/>
      <c r="J24" s="5"/>
      <c r="K24" s="5"/>
    </row>
    <row r="25" spans="1:11" ht="27.9" customHeight="1" thickTop="1" thickBot="1">
      <c r="A25" s="12"/>
      <c r="B25" s="2" t="s">
        <v>87</v>
      </c>
      <c r="C25" s="13" t="s">
        <v>96</v>
      </c>
      <c r="D25" s="2" t="s">
        <v>13</v>
      </c>
      <c r="E25" s="2"/>
      <c r="F25" s="289">
        <v>40</v>
      </c>
      <c r="G25" s="33">
        <f>E25*F25</f>
        <v>0</v>
      </c>
      <c r="H25" s="248">
        <f t="shared" si="1"/>
        <v>0</v>
      </c>
      <c r="I25" s="5"/>
      <c r="J25" s="5"/>
      <c r="K25" s="5"/>
    </row>
    <row r="26" spans="1:11" ht="27.9" customHeight="1" thickBot="1">
      <c r="A26" s="12"/>
      <c r="B26" s="2" t="s">
        <v>12</v>
      </c>
      <c r="C26" s="13" t="s">
        <v>97</v>
      </c>
      <c r="D26" s="2" t="s">
        <v>13</v>
      </c>
      <c r="E26" s="108">
        <f>'Calcul DF,DF+SF'!F24</f>
        <v>0</v>
      </c>
      <c r="F26" s="290">
        <v>62</v>
      </c>
      <c r="G26" s="33">
        <f t="shared" si="0"/>
        <v>0</v>
      </c>
      <c r="H26" s="248">
        <f t="shared" si="1"/>
        <v>0</v>
      </c>
      <c r="I26" s="5"/>
      <c r="J26" s="5"/>
      <c r="K26" s="5"/>
    </row>
    <row r="27" spans="1:11" ht="27.9" customHeight="1" thickBot="1">
      <c r="A27" s="12"/>
      <c r="B27" s="2">
        <v>630112</v>
      </c>
      <c r="C27" s="13" t="s">
        <v>99</v>
      </c>
      <c r="D27" s="3" t="s">
        <v>11</v>
      </c>
      <c r="E27" s="2"/>
      <c r="F27" s="290">
        <v>81</v>
      </c>
      <c r="G27" s="33">
        <f t="shared" si="0"/>
        <v>0</v>
      </c>
      <c r="H27" s="248">
        <f t="shared" si="1"/>
        <v>0</v>
      </c>
      <c r="I27" s="5"/>
      <c r="J27" s="5"/>
      <c r="K27" s="5"/>
    </row>
    <row r="28" spans="1:11" ht="27.9" customHeight="1" thickBot="1">
      <c r="A28" s="12"/>
      <c r="B28" s="2">
        <v>630113</v>
      </c>
      <c r="C28" s="13" t="s">
        <v>98</v>
      </c>
      <c r="D28" s="3" t="s">
        <v>11</v>
      </c>
      <c r="E28" s="2"/>
      <c r="F28" s="290">
        <v>123</v>
      </c>
      <c r="G28" s="33">
        <f t="shared" si="0"/>
        <v>0</v>
      </c>
      <c r="H28" s="248">
        <f t="shared" si="1"/>
        <v>0</v>
      </c>
      <c r="I28" s="5"/>
      <c r="J28" s="5"/>
      <c r="K28" s="5"/>
    </row>
    <row r="29" spans="1:11" ht="18" customHeight="1" thickBot="1">
      <c r="A29" s="12"/>
      <c r="B29" s="2">
        <v>92252</v>
      </c>
      <c r="C29" s="13" t="s">
        <v>100</v>
      </c>
      <c r="D29" s="3" t="s">
        <v>14</v>
      </c>
      <c r="E29" s="2"/>
      <c r="F29" s="290">
        <v>71</v>
      </c>
      <c r="G29" s="33">
        <f t="shared" si="0"/>
        <v>0</v>
      </c>
      <c r="H29" s="248">
        <f t="shared" si="1"/>
        <v>0</v>
      </c>
      <c r="I29" s="5"/>
      <c r="J29" s="5"/>
      <c r="K29" s="5"/>
    </row>
    <row r="30" spans="1:11" ht="18" customHeight="1" thickBot="1">
      <c r="A30" s="35"/>
      <c r="B30" s="36" t="s">
        <v>132</v>
      </c>
      <c r="C30" s="37" t="s">
        <v>133</v>
      </c>
      <c r="D30" s="40" t="s">
        <v>11</v>
      </c>
      <c r="E30" s="36"/>
      <c r="F30" s="291">
        <v>10</v>
      </c>
      <c r="G30" s="38">
        <f t="shared" si="0"/>
        <v>0</v>
      </c>
      <c r="H30" s="248">
        <f t="shared" si="1"/>
        <v>0</v>
      </c>
      <c r="I30" s="5"/>
      <c r="J30" s="5"/>
      <c r="K30" s="5"/>
    </row>
    <row r="31" spans="1:11" ht="20.100000000000001" customHeight="1" thickTop="1" thickBot="1">
      <c r="A31" s="564" t="s">
        <v>16</v>
      </c>
      <c r="B31" s="565"/>
      <c r="C31" s="565"/>
      <c r="D31" s="565"/>
      <c r="E31" s="565"/>
      <c r="F31" s="565"/>
      <c r="G31" s="39"/>
      <c r="H31" s="248">
        <f>SUM(H32:H74)</f>
        <v>0</v>
      </c>
      <c r="I31" s="5"/>
      <c r="J31" s="5"/>
      <c r="K31" s="5"/>
    </row>
    <row r="32" spans="1:11" ht="18" customHeight="1" thickTop="1" thickBot="1">
      <c r="A32" s="12"/>
      <c r="B32" s="2" t="s">
        <v>78</v>
      </c>
      <c r="C32" s="13" t="s">
        <v>77</v>
      </c>
      <c r="D32" s="2" t="s">
        <v>13</v>
      </c>
      <c r="E32" s="2">
        <f>'Calcul DF,DF+SF'!D20+'Calcul DF,DF+SF'!O20+'Calcul DF,DF+SF'!Z20</f>
        <v>0</v>
      </c>
      <c r="F32" s="285">
        <v>2</v>
      </c>
      <c r="G32" s="33">
        <f t="shared" ref="G32:G37" si="2">E32*F32</f>
        <v>0</v>
      </c>
      <c r="H32" s="248">
        <f>E32</f>
        <v>0</v>
      </c>
      <c r="I32" s="5"/>
      <c r="J32" s="5"/>
      <c r="K32" s="5"/>
    </row>
    <row r="33" spans="1:17" ht="18" customHeight="1" thickBot="1">
      <c r="A33" s="12"/>
      <c r="B33" s="2" t="s">
        <v>109</v>
      </c>
      <c r="C33" s="13" t="s">
        <v>110</v>
      </c>
      <c r="D33" s="3" t="s">
        <v>14</v>
      </c>
      <c r="E33" s="2">
        <f>'Calcul DF,DF+SF'!G24</f>
        <v>0</v>
      </c>
      <c r="F33" s="286">
        <v>11</v>
      </c>
      <c r="G33" s="33">
        <f t="shared" si="2"/>
        <v>0</v>
      </c>
      <c r="H33" s="248">
        <f t="shared" si="1"/>
        <v>0</v>
      </c>
      <c r="I33" s="5"/>
      <c r="J33" s="5"/>
      <c r="K33" s="5"/>
    </row>
    <row r="34" spans="1:17" ht="18" customHeight="1" thickBot="1">
      <c r="A34" s="324"/>
      <c r="B34" s="20" t="s">
        <v>415</v>
      </c>
      <c r="C34" s="318" t="s">
        <v>416</v>
      </c>
      <c r="D34" s="319" t="s">
        <v>14</v>
      </c>
      <c r="E34" s="20"/>
      <c r="F34" s="290">
        <v>10</v>
      </c>
      <c r="G34" s="325">
        <f t="shared" si="2"/>
        <v>0</v>
      </c>
      <c r="H34" s="248">
        <f t="shared" si="1"/>
        <v>0</v>
      </c>
      <c r="I34" s="5"/>
      <c r="L34" s="5"/>
      <c r="M34" s="5"/>
      <c r="N34" s="5"/>
      <c r="O34" s="5"/>
      <c r="P34" s="5"/>
      <c r="Q34" s="5"/>
    </row>
    <row r="35" spans="1:17" ht="18" customHeight="1" thickBot="1">
      <c r="A35" s="324"/>
      <c r="B35" s="20" t="s">
        <v>414</v>
      </c>
      <c r="C35" s="318" t="s">
        <v>417</v>
      </c>
      <c r="D35" s="319" t="s">
        <v>14</v>
      </c>
      <c r="E35" s="20"/>
      <c r="F35" s="290">
        <v>6</v>
      </c>
      <c r="G35" s="325">
        <f t="shared" si="2"/>
        <v>0</v>
      </c>
      <c r="H35" s="248">
        <f t="shared" si="1"/>
        <v>0</v>
      </c>
      <c r="I35" s="5"/>
      <c r="L35" s="5"/>
      <c r="M35" s="5"/>
      <c r="N35" s="5"/>
      <c r="O35" s="5"/>
      <c r="P35" s="5"/>
      <c r="Q35" s="5"/>
    </row>
    <row r="36" spans="1:17" ht="18" customHeight="1" thickBot="1">
      <c r="A36" s="12"/>
      <c r="B36" s="2" t="s">
        <v>111</v>
      </c>
      <c r="C36" s="13" t="s">
        <v>161</v>
      </c>
      <c r="D36" s="3" t="s">
        <v>11</v>
      </c>
      <c r="E36" s="2"/>
      <c r="F36" s="286">
        <v>165</v>
      </c>
      <c r="G36" s="33">
        <f t="shared" si="2"/>
        <v>0</v>
      </c>
      <c r="H36" s="248">
        <f t="shared" si="1"/>
        <v>0</v>
      </c>
      <c r="I36" s="5"/>
      <c r="J36" s="5"/>
      <c r="K36" s="5"/>
    </row>
    <row r="37" spans="1:17" ht="18" customHeight="1" thickBot="1">
      <c r="A37" s="12"/>
      <c r="B37" s="29" t="s">
        <v>115</v>
      </c>
      <c r="C37" s="31" t="s">
        <v>117</v>
      </c>
      <c r="D37" s="30" t="s">
        <v>11</v>
      </c>
      <c r="E37" s="160"/>
      <c r="F37" s="286">
        <v>21</v>
      </c>
      <c r="G37" s="33">
        <f t="shared" si="2"/>
        <v>0</v>
      </c>
      <c r="H37" s="248">
        <f t="shared" si="1"/>
        <v>0</v>
      </c>
      <c r="I37" s="5"/>
      <c r="J37" s="5"/>
      <c r="K37" s="5"/>
    </row>
    <row r="38" spans="1:17" ht="18" customHeight="1" thickBot="1">
      <c r="A38" s="27"/>
      <c r="B38" s="20" t="s">
        <v>61</v>
      </c>
      <c r="C38" s="13" t="s">
        <v>63</v>
      </c>
      <c r="D38" s="28" t="s">
        <v>14</v>
      </c>
      <c r="E38" s="20"/>
      <c r="F38" s="286">
        <v>39</v>
      </c>
      <c r="G38" s="33">
        <f t="shared" si="0"/>
        <v>0</v>
      </c>
      <c r="H38" s="248">
        <f t="shared" si="1"/>
        <v>0</v>
      </c>
      <c r="I38" s="5"/>
      <c r="J38" s="5"/>
      <c r="K38" s="5"/>
    </row>
    <row r="39" spans="1:17" ht="18" customHeight="1" thickBot="1">
      <c r="A39" s="27"/>
      <c r="B39" s="20" t="s">
        <v>62</v>
      </c>
      <c r="C39" s="13" t="s">
        <v>75</v>
      </c>
      <c r="D39" s="28" t="s">
        <v>14</v>
      </c>
      <c r="E39" s="20"/>
      <c r="F39" s="286">
        <v>116</v>
      </c>
      <c r="G39" s="33">
        <f t="shared" si="0"/>
        <v>0</v>
      </c>
      <c r="H39" s="248">
        <f t="shared" si="1"/>
        <v>0</v>
      </c>
      <c r="I39" s="5"/>
      <c r="J39" s="5"/>
      <c r="K39" s="5"/>
    </row>
    <row r="40" spans="1:17" ht="18" customHeight="1" thickBot="1">
      <c r="A40" s="12"/>
      <c r="B40" s="2" t="s">
        <v>17</v>
      </c>
      <c r="C40" s="13" t="s">
        <v>18</v>
      </c>
      <c r="D40" s="20" t="s">
        <v>14</v>
      </c>
      <c r="E40" s="2">
        <f>IF('Calcul DF,DF+SF'!$D$24&gt;=300,MIN(MOD('Calcul DF,DF+SF'!$D$24,300)/100,INT('Calcul DF,DF+SF'!$D$24/100)),IF('Calcul DF,DF+SF'!$D$24&gt;=100,INT('Calcul DF,DF+SF'!$D$24/100),0))</f>
        <v>0</v>
      </c>
      <c r="F40" s="286">
        <v>52</v>
      </c>
      <c r="G40" s="33">
        <f t="shared" si="0"/>
        <v>0</v>
      </c>
      <c r="H40" s="248">
        <f t="shared" si="1"/>
        <v>0</v>
      </c>
      <c r="I40" s="5"/>
      <c r="J40" s="5"/>
      <c r="K40" s="5"/>
    </row>
    <row r="41" spans="1:17" ht="18" customHeight="1" thickBot="1">
      <c r="A41" s="12"/>
      <c r="B41" s="2" t="s">
        <v>19</v>
      </c>
      <c r="C41" s="13" t="s">
        <v>20</v>
      </c>
      <c r="D41" s="28" t="s">
        <v>14</v>
      </c>
      <c r="E41" s="20">
        <f>IF('Calcul DF,DF+SF'!$D$24&gt;=300,INT('Calcul DF,DF+SF'!$D$24/300),0)</f>
        <v>0</v>
      </c>
      <c r="F41" s="286">
        <v>153</v>
      </c>
      <c r="G41" s="33">
        <f t="shared" si="0"/>
        <v>0</v>
      </c>
      <c r="H41" s="248">
        <f t="shared" si="1"/>
        <v>0</v>
      </c>
      <c r="I41" s="5"/>
      <c r="J41" s="5"/>
      <c r="K41" s="5"/>
    </row>
    <row r="42" spans="1:17" ht="18" customHeight="1" thickBot="1">
      <c r="A42" s="12"/>
      <c r="B42" s="2" t="s">
        <v>59</v>
      </c>
      <c r="C42" s="13" t="s">
        <v>66</v>
      </c>
      <c r="D42" s="28" t="s">
        <v>14</v>
      </c>
      <c r="E42" s="20">
        <f>IF('Calcul DF,DF+SF'!C24- 'Sistem DF+SF'!E44*600- 'Sistem DF+SF'!E43*240&gt;=120, INT(('Calcul DF,DF+SF'!C24- 'Sistem DF+SF'!E44*600-'Sistem DF+SF'!E43*240)/120),0)</f>
        <v>0</v>
      </c>
      <c r="F42" s="286">
        <v>64</v>
      </c>
      <c r="G42" s="33">
        <f t="shared" si="0"/>
        <v>0</v>
      </c>
      <c r="H42" s="248">
        <f t="shared" si="1"/>
        <v>0</v>
      </c>
      <c r="I42" s="5"/>
      <c r="J42" s="5"/>
      <c r="K42" s="5"/>
    </row>
    <row r="43" spans="1:17" ht="18" customHeight="1" thickBot="1">
      <c r="A43" s="12"/>
      <c r="B43" s="2" t="s">
        <v>64</v>
      </c>
      <c r="C43" s="13" t="s">
        <v>67</v>
      </c>
      <c r="D43" s="28" t="s">
        <v>14</v>
      </c>
      <c r="E43" s="20">
        <f>IF('Calcul DF,DF+SF'!C24-'Sistem DF+SF'!E44*600&gt;=240, INT(('Calcul DF,DF+SF'!C24-'Sistem DF+SF'!E44*600)/240),0)</f>
        <v>0</v>
      </c>
      <c r="F43" s="286">
        <v>127</v>
      </c>
      <c r="G43" s="33">
        <f t="shared" si="0"/>
        <v>0</v>
      </c>
      <c r="H43" s="248">
        <f t="shared" si="1"/>
        <v>0</v>
      </c>
      <c r="I43" s="5"/>
      <c r="J43" s="5"/>
      <c r="K43" s="5"/>
    </row>
    <row r="44" spans="1:17" ht="18" customHeight="1" thickBot="1">
      <c r="A44" s="12"/>
      <c r="B44" s="2" t="s">
        <v>65</v>
      </c>
      <c r="C44" s="13" t="s">
        <v>68</v>
      </c>
      <c r="D44" s="28" t="s">
        <v>14</v>
      </c>
      <c r="E44" s="20">
        <f>IF('Calcul DF,DF+SF'!C24&gt;=600, INT('Calcul DF,DF+SF'!C24/600),0)</f>
        <v>0</v>
      </c>
      <c r="F44" s="286">
        <v>319</v>
      </c>
      <c r="G44" s="33">
        <f t="shared" si="0"/>
        <v>0</v>
      </c>
      <c r="H44" s="248">
        <f t="shared" si="1"/>
        <v>0</v>
      </c>
      <c r="I44" s="5"/>
      <c r="J44" s="5"/>
      <c r="K44" s="5"/>
    </row>
    <row r="45" spans="1:17" ht="50.1" customHeight="1" thickBot="1">
      <c r="A45" s="12"/>
      <c r="B45" s="2" t="s">
        <v>35</v>
      </c>
      <c r="C45" s="13" t="s">
        <v>118</v>
      </c>
      <c r="D45" s="2" t="s">
        <v>11</v>
      </c>
      <c r="E45" s="2">
        <f>IF(AND('Calcul DF,DF+SF'!$J$24=2, 'Calcul DF,DF+SF'!$U$24=2, 'Calcul DF,DF+SF'!$AF$24=2), 3,
IF(OR(AND('Calcul DF,DF+SF'!$J$24=2, 'Calcul DF,DF+SF'!$U$24=2),
      AND('Calcul DF,DF+SF'!$J$24=2, 'Calcul DF,DF+SF'!$AF$24=2),
      AND('Calcul DF,DF+SF'!$U$24=2, 'Calcul DF,DF+SF'!$AF$24=2)), 2,
IF(OR('Calcul DF,DF+SF'!$J$24=2, 'Calcul DF,DF+SF'!$U$24=2, 'Calcul DF,DF+SF'!$AF$24=2), 1, 0)))</f>
        <v>0</v>
      </c>
      <c r="F45" s="286">
        <v>104</v>
      </c>
      <c r="G45" s="33">
        <f t="shared" si="0"/>
        <v>0</v>
      </c>
      <c r="H45" s="248">
        <f t="shared" si="1"/>
        <v>0</v>
      </c>
      <c r="I45" s="5"/>
      <c r="J45" s="5"/>
      <c r="K45" s="5"/>
    </row>
    <row r="46" spans="1:17" ht="50.1" customHeight="1" thickBot="1">
      <c r="A46" s="12"/>
      <c r="B46" s="2" t="s">
        <v>36</v>
      </c>
      <c r="C46" s="13" t="s">
        <v>119</v>
      </c>
      <c r="D46" s="2" t="s">
        <v>11</v>
      </c>
      <c r="E46" s="2">
        <f>IF(AND('Calcul DF,DF+SF'!$J$24=3, 'Calcul DF,DF+SF'!$U$24=3, 'Calcul DF,DF+SF'!$AF$24=3), 3,
IF(OR(AND('Calcul DF,DF+SF'!$J$24=3, 'Calcul DF,DF+SF'!$U$24=3),
      AND('Calcul DF,DF+SF'!$J$24=3, 'Calcul DF,DF+SF'!$AF$24=3),
      AND('Calcul DF,DF+SF'!$U$24=3, 'Calcul DF,DF+SF'!$AF$24=3)), 2,
IF(OR('Calcul DF,DF+SF'!$J$24=3, 'Calcul DF,DF+SF'!$U$24=3, 'Calcul DF,DF+SF'!$AF$24=3), 1, 0)))</f>
        <v>0</v>
      </c>
      <c r="F46" s="286">
        <v>120</v>
      </c>
      <c r="G46" s="33">
        <f t="shared" si="0"/>
        <v>0</v>
      </c>
      <c r="H46" s="248">
        <f t="shared" si="1"/>
        <v>0</v>
      </c>
      <c r="I46" s="5"/>
      <c r="J46" s="5"/>
      <c r="K46" s="5"/>
    </row>
    <row r="47" spans="1:17" ht="50.1" customHeight="1" thickBot="1">
      <c r="A47" s="12"/>
      <c r="B47" s="2" t="s">
        <v>37</v>
      </c>
      <c r="C47" s="13" t="s">
        <v>120</v>
      </c>
      <c r="D47" s="2" t="s">
        <v>11</v>
      </c>
      <c r="E47" s="2">
        <f>IF(AND('Calcul DF,DF+SF'!$J$24=4, 'Calcul DF,DF+SF'!$U$24=4, 'Calcul DF,DF+SF'!$AF$24=4), 3,
IF(OR(AND('Calcul DF,DF+SF'!$J$24=4, 'Calcul DF,DF+SF'!$U$24=4),
      AND('Calcul DF,DF+SF'!$J$24=4, 'Calcul DF,DF+SF'!$AF$24=4),
      AND('Calcul DF,DF+SF'!$U$24=4, 'Calcul DF,DF+SF'!$AF$24=4)), 2,
IF(OR('Calcul DF,DF+SF'!$J$24=4, 'Calcul DF,DF+SF'!$U$24=4, 'Calcul DF,DF+SF'!$AF$24=4), 1, 0)))</f>
        <v>0</v>
      </c>
      <c r="F47" s="286">
        <v>136</v>
      </c>
      <c r="G47" s="33">
        <f t="shared" si="0"/>
        <v>0</v>
      </c>
      <c r="H47" s="248">
        <f t="shared" si="1"/>
        <v>0</v>
      </c>
      <c r="I47" s="5"/>
      <c r="J47" s="5"/>
      <c r="K47" s="5"/>
    </row>
    <row r="48" spans="1:17" ht="50.1" customHeight="1" thickBot="1">
      <c r="A48" s="12"/>
      <c r="B48" s="2" t="s">
        <v>23</v>
      </c>
      <c r="C48" s="13" t="s">
        <v>121</v>
      </c>
      <c r="D48" s="2" t="s">
        <v>11</v>
      </c>
      <c r="E48" s="2">
        <f>IF(AND('Calcul DF,DF+SF'!$J$24=5, 'Calcul DF,DF+SF'!$U$24=5, 'Calcul DF,DF+SF'!$AF$24=5), 3,
IF(OR(AND('Calcul DF,DF+SF'!$J$24=5, 'Calcul DF,DF+SF'!$U$24=5),
      AND('Calcul DF,DF+SF'!$J$24=5, 'Calcul DF,DF+SF'!$AF$24=5),
      AND('Calcul DF,DF+SF'!$U$24=5, 'Calcul DF,DF+SF'!$AF$24=5)), 2,
IF(OR('Calcul DF,DF+SF'!$J$24=5, 'Calcul DF,DF+SF'!$U$24=5, 'Calcul DF,DF+SF'!$AF$24=5), 1, 0)))</f>
        <v>0</v>
      </c>
      <c r="F48" s="286">
        <v>151</v>
      </c>
      <c r="G48" s="33">
        <f t="shared" si="0"/>
        <v>0</v>
      </c>
      <c r="H48" s="248">
        <f t="shared" si="1"/>
        <v>0</v>
      </c>
      <c r="I48" s="5"/>
      <c r="J48" s="5"/>
      <c r="K48" s="5"/>
    </row>
    <row r="49" spans="1:17" ht="50.1" customHeight="1" thickBot="1">
      <c r="A49" s="12"/>
      <c r="B49" s="2" t="s">
        <v>22</v>
      </c>
      <c r="C49" s="13" t="s">
        <v>409</v>
      </c>
      <c r="D49" s="2" t="s">
        <v>11</v>
      </c>
      <c r="E49" s="2">
        <f>IF(AND('Calcul DF,DF+SF'!$J$24=6, 'Calcul DF,DF+SF'!$U$24=6, 'Calcul DF,DF+SF'!$AF$24=6), 3,
IF(OR(AND('Calcul DF,DF+SF'!$J$24=6, 'Calcul DF,DF+SF'!$U$24=6),
      AND('Calcul DF,DF+SF'!$J$24=6, 'Calcul DF,DF+SF'!$AF$24=6),
      AND('Calcul DF,DF+SF'!$U$24=6, 'Calcul DF,DF+SF'!$AF$24=6)), 2,
IF(OR('Calcul DF,DF+SF'!$J$24=6, 'Calcul DF,DF+SF'!$U$24=6, 'Calcul DF,DF+SF'!$AF$24=6), 1, 0)))</f>
        <v>0</v>
      </c>
      <c r="F49" s="286">
        <v>168</v>
      </c>
      <c r="G49" s="33">
        <f t="shared" si="0"/>
        <v>0</v>
      </c>
      <c r="H49" s="248">
        <f t="shared" si="1"/>
        <v>0</v>
      </c>
      <c r="I49" s="5"/>
      <c r="J49" s="5"/>
      <c r="K49" s="5"/>
    </row>
    <row r="50" spans="1:17" ht="50.1" customHeight="1" thickBot="1">
      <c r="A50" s="12"/>
      <c r="B50" s="2" t="s">
        <v>21</v>
      </c>
      <c r="C50" s="13" t="s">
        <v>304</v>
      </c>
      <c r="D50" s="2" t="s">
        <v>11</v>
      </c>
      <c r="E50" s="2">
        <f>IF(AND('Calcul DF,DF+SF'!$J$24=7, 'Calcul DF,DF+SF'!$U$24=7, 'Calcul DF,DF+SF'!$AF$24=7), 3,
IF(OR(AND('Calcul DF,DF+SF'!$J$24=7, 'Calcul DF,DF+SF'!$U$24=7),
      AND('Calcul DF,DF+SF'!$J$24=7, 'Calcul DF,DF+SF'!$AF$24=7),
      AND('Calcul DF,DF+SF'!$U$24=7, 'Calcul DF,DF+SF'!$AF$24=7)), 2,
IF(OR('Calcul DF,DF+SF'!$J$24=7, 'Calcul DF,DF+SF'!$U$24=7, 'Calcul DF,DF+SF'!$AF$24=7), 1, 0)))</f>
        <v>0</v>
      </c>
      <c r="F50" s="286">
        <v>184</v>
      </c>
      <c r="G50" s="33">
        <f t="shared" si="0"/>
        <v>0</v>
      </c>
      <c r="H50" s="248">
        <f t="shared" si="1"/>
        <v>0</v>
      </c>
      <c r="I50" s="5"/>
      <c r="J50" s="5"/>
      <c r="K50" s="5"/>
    </row>
    <row r="51" spans="1:17" ht="50.1" customHeight="1" thickBot="1">
      <c r="A51" s="12"/>
      <c r="B51" s="2" t="s">
        <v>38</v>
      </c>
      <c r="C51" s="13" t="s">
        <v>167</v>
      </c>
      <c r="D51" s="2" t="s">
        <v>11</v>
      </c>
      <c r="E51" s="2">
        <f>IF(AND('Calcul DF,DF+SF'!$J$24=8, 'Calcul DF,DF+SF'!$U$24=8, 'Calcul DF,DF+SF'!$AF$24=8), 3,
IF(OR(AND('Calcul DF,DF+SF'!$J$24=8, 'Calcul DF,DF+SF'!$U$24=8),
      AND('Calcul DF,DF+SF'!$J$24=8, 'Calcul DF,DF+SF'!$AF$24=8),
      AND('Calcul DF,DF+SF'!$U$24=8, 'Calcul DF,DF+SF'!$AF$24=8)), 2,
IF(OR('Calcul DF,DF+SF'!$J$24=8, 'Calcul DF,DF+SF'!$U$24=8, 'Calcul DF,DF+SF'!$AF$24=8), 1, 0)))</f>
        <v>0</v>
      </c>
      <c r="F51" s="286">
        <v>200</v>
      </c>
      <c r="G51" s="33">
        <f t="shared" si="0"/>
        <v>0</v>
      </c>
      <c r="H51" s="248">
        <f t="shared" si="1"/>
        <v>0</v>
      </c>
      <c r="I51" s="5"/>
      <c r="J51" s="5"/>
      <c r="K51" s="5"/>
    </row>
    <row r="52" spans="1:17" ht="50.1" customHeight="1" thickBot="1">
      <c r="A52" s="12"/>
      <c r="B52" s="2" t="s">
        <v>39</v>
      </c>
      <c r="C52" s="13" t="s">
        <v>173</v>
      </c>
      <c r="D52" s="2" t="s">
        <v>11</v>
      </c>
      <c r="E52" s="2">
        <f>IF(AND('Calcul DF,DF+SF'!$J$24=9, 'Calcul DF,DF+SF'!$U$24=9, 'Calcul DF,DF+SF'!$AF$24=9), 3,
IF(OR(AND('Calcul DF,DF+SF'!$J$24=9, 'Calcul DF,DF+SF'!$U$24=9),
      AND('Calcul DF,DF+SF'!$J$24=9, 'Calcul DF,DF+SF'!$AF$24=9),
      AND('Calcul DF,DF+SF'!$U$24=9, 'Calcul DF,DF+SF'!$AF$24=9)), 2,
IF(OR('Calcul DF,DF+SF'!$J$24=9, 'Calcul DF,DF+SF'!$U$24=9, 'Calcul DF,DF+SF'!$AF$24=9), 1, 0)))</f>
        <v>0</v>
      </c>
      <c r="F52" s="286">
        <v>215</v>
      </c>
      <c r="G52" s="33">
        <f t="shared" si="0"/>
        <v>0</v>
      </c>
      <c r="H52" s="248">
        <f t="shared" si="1"/>
        <v>0</v>
      </c>
      <c r="I52" s="5"/>
      <c r="J52" s="5"/>
      <c r="K52" s="5"/>
    </row>
    <row r="53" spans="1:17" ht="50.1" customHeight="1" thickBot="1">
      <c r="A53" s="12"/>
      <c r="B53" s="2" t="s">
        <v>40</v>
      </c>
      <c r="C53" s="13" t="s">
        <v>122</v>
      </c>
      <c r="D53" s="2" t="s">
        <v>11</v>
      </c>
      <c r="E53" s="2">
        <f>IF(AND('Calcul DF,DF+SF'!$J$24=10, 'Calcul DF,DF+SF'!$U$24=10, 'Calcul DF,DF+SF'!$AF$24=10), 3,
IF(OR(AND('Calcul DF,DF+SF'!$J$24=10, 'Calcul DF,DF+SF'!$U$24=10),
      AND('Calcul DF,DF+SF'!$J$24=10, 'Calcul DF,DF+SF'!$AF$24=10),
      AND('Calcul DF,DF+SF'!$U$24=10, 'Calcul DF,DF+SF'!$AF$24=10)), 2,
IF(OR('Calcul DF,DF+SF'!$J$24=10, 'Calcul DF,DF+SF'!$U$24=10, 'Calcul DF,DF+SF'!$AF$24=10), 1, 0)))</f>
        <v>0</v>
      </c>
      <c r="F53" s="286">
        <v>233</v>
      </c>
      <c r="G53" s="33">
        <f t="shared" si="0"/>
        <v>0</v>
      </c>
      <c r="H53" s="248">
        <f t="shared" si="1"/>
        <v>0</v>
      </c>
      <c r="I53" s="5"/>
      <c r="J53" s="5"/>
      <c r="K53" s="5"/>
    </row>
    <row r="54" spans="1:17" ht="50.1" customHeight="1" thickBot="1">
      <c r="A54" s="12"/>
      <c r="B54" s="2" t="s">
        <v>41</v>
      </c>
      <c r="C54" s="13" t="s">
        <v>123</v>
      </c>
      <c r="D54" s="2" t="s">
        <v>11</v>
      </c>
      <c r="E54" s="2">
        <f>IF(AND('Calcul DF,DF+SF'!$J$24=11, 'Calcul DF,DF+SF'!$U$24=11, 'Calcul DF,DF+SF'!$AF$24=11), 3,
IF(OR(AND('Calcul DF,DF+SF'!$J$24=11, 'Calcul DF,DF+SF'!$U$24=11),
      AND('Calcul DF,DF+SF'!$J$24=11, 'Calcul DF,DF+SF'!$AF$24=11),
      AND('Calcul DF,DF+SF'!$U$24=11, 'Calcul DF,DF+SF'!$AF$24=11)), 2,
IF(OR('Calcul DF,DF+SF'!$J$24=11, 'Calcul DF,DF+SF'!$U$24=11, 'Calcul DF,DF+SF'!$AF$24=11), 1, 0)))</f>
        <v>0</v>
      </c>
      <c r="F54" s="286">
        <v>247</v>
      </c>
      <c r="G54" s="33">
        <f t="shared" si="0"/>
        <v>0</v>
      </c>
      <c r="H54" s="248">
        <f t="shared" si="1"/>
        <v>0</v>
      </c>
      <c r="I54" s="5"/>
      <c r="J54" s="5"/>
      <c r="K54" s="5"/>
    </row>
    <row r="55" spans="1:17" ht="50.1" customHeight="1" thickBot="1">
      <c r="A55" s="12"/>
      <c r="B55" s="2" t="s">
        <v>42</v>
      </c>
      <c r="C55" s="13" t="s">
        <v>124</v>
      </c>
      <c r="D55" s="2" t="s">
        <v>11</v>
      </c>
      <c r="E55" s="2">
        <f>IF(AND('Calcul DF,DF+SF'!$J$24=12, 'Calcul DF,DF+SF'!$U$24=12, 'Calcul DF,DF+SF'!$AF$24=12), 3,
IF(OR(AND('Calcul DF,DF+SF'!$J$24=12, 'Calcul DF,DF+SF'!$U$24=12),
      AND('Calcul DF,DF+SF'!$J$24=12, 'Calcul DF,DF+SF'!$AF$24=12),
      AND('Calcul DF,DF+SF'!$U$24=12, 'Calcul DF,DF+SF'!$AF$24=12)), 2,
IF(OR('Calcul DF,DF+SF'!$J$24=12, 'Calcul DF,DF+SF'!$U$24=12, 'Calcul DF,DF+SF'!$AF$24=12), 1, 0)))</f>
        <v>0</v>
      </c>
      <c r="F55" s="286">
        <v>265</v>
      </c>
      <c r="G55" s="33">
        <f t="shared" si="0"/>
        <v>0</v>
      </c>
      <c r="H55" s="248">
        <f t="shared" si="1"/>
        <v>0</v>
      </c>
      <c r="I55" s="5"/>
      <c r="J55" s="5"/>
      <c r="K55" s="5"/>
    </row>
    <row r="56" spans="1:17" ht="50.1" customHeight="1" thickBot="1">
      <c r="A56" s="12"/>
      <c r="B56" s="2" t="s">
        <v>43</v>
      </c>
      <c r="C56" s="13" t="s">
        <v>125</v>
      </c>
      <c r="D56" s="2" t="s">
        <v>11</v>
      </c>
      <c r="E56" s="2">
        <f>IF(AND('Calcul DF,DF+SF'!$J$24=13, 'Calcul DF,DF+SF'!$U$24=13, 'Calcul DF,DF+SF'!$AF$24=13), 3,
IF(OR(AND('Calcul DF,DF+SF'!$J$24=13, 'Calcul DF,DF+SF'!$U$24=13),
      AND('Calcul DF,DF+SF'!$J$24=13, 'Calcul DF,DF+SF'!$AF$24=13),
      AND('Calcul DF,DF+SF'!$U$24=13, 'Calcul DF,DF+SF'!$AF$24=13)), 2,
IF(OR('Calcul DF,DF+SF'!$J$24=13, 'Calcul DF,DF+SF'!$U$24=13, 'Calcul DF,DF+SF'!$AF$24=13), 1, 0)))</f>
        <v>0</v>
      </c>
      <c r="F56" s="286">
        <v>283</v>
      </c>
      <c r="G56" s="33">
        <f t="shared" si="0"/>
        <v>0</v>
      </c>
      <c r="H56" s="248">
        <f t="shared" si="1"/>
        <v>0</v>
      </c>
      <c r="I56" s="5"/>
      <c r="J56" s="5"/>
      <c r="K56" s="5"/>
    </row>
    <row r="57" spans="1:17" ht="50.1" customHeight="1" thickBot="1">
      <c r="A57" s="12"/>
      <c r="B57" s="2" t="s">
        <v>44</v>
      </c>
      <c r="C57" s="13" t="s">
        <v>126</v>
      </c>
      <c r="D57" s="2" t="s">
        <v>11</v>
      </c>
      <c r="E57" s="2">
        <f>IF(AND('Calcul DF,DF+SF'!$J$24=14, 'Calcul DF,DF+SF'!$U$24=14, 'Calcul DF,DF+SF'!$AF$24=14), 3,
IF(OR(AND('Calcul DF,DF+SF'!$J$24=14, 'Calcul DF,DF+SF'!$U$24=14),
      AND('Calcul DF,DF+SF'!$J$24=14, 'Calcul DF,DF+SF'!$AF$24=14),
      AND('Calcul DF,DF+SF'!$U$24=14, 'Calcul DF,DF+SF'!$AF$24=14)), 2,
IF(OR('Calcul DF,DF+SF'!$J$24=14, 'Calcul DF,DF+SF'!$U$24=14, 'Calcul DF,DF+SF'!$AF$24=14), 1, 0)))</f>
        <v>0</v>
      </c>
      <c r="F57" s="286">
        <v>298</v>
      </c>
      <c r="G57" s="33">
        <f t="shared" si="0"/>
        <v>0</v>
      </c>
      <c r="H57" s="248">
        <f t="shared" si="1"/>
        <v>0</v>
      </c>
      <c r="I57" s="5"/>
      <c r="J57" s="5"/>
      <c r="K57" s="5"/>
    </row>
    <row r="58" spans="1:17" ht="49.05" customHeight="1" thickBot="1">
      <c r="A58" s="12"/>
      <c r="B58" s="2" t="s">
        <v>45</v>
      </c>
      <c r="C58" s="13" t="s">
        <v>127</v>
      </c>
      <c r="D58" s="2" t="s">
        <v>11</v>
      </c>
      <c r="E58" s="2">
        <f>IF(AND('Calcul DF,DF+SF'!$J$24=15, 'Calcul DF,DF+SF'!$U$24=15, 'Calcul DF,DF+SF'!$AF$24=15), 3,
IF(OR(AND('Calcul DF,DF+SF'!$J$24=15, 'Calcul DF,DF+SF'!$U$24=15),
      AND('Calcul DF,DF+SF'!$J$24=15, 'Calcul DF,DF+SF'!$AF$24=15),
      AND('Calcul DF,DF+SF'!$U$24=15, 'Calcul DF,DF+SF'!$AF$24=15)), 2,
IF(OR('Calcul DF,DF+SF'!$J$24=15, 'Calcul DF,DF+SF'!$U$24=15, 'Calcul DF,DF+SF'!$AF$24=15), 1, 0)))</f>
        <v>0</v>
      </c>
      <c r="F58" s="286">
        <v>314</v>
      </c>
      <c r="G58" s="33">
        <f t="shared" si="0"/>
        <v>0</v>
      </c>
      <c r="H58" s="248">
        <f t="shared" si="1"/>
        <v>0</v>
      </c>
      <c r="I58" s="5"/>
      <c r="J58" s="5"/>
      <c r="K58" s="5"/>
    </row>
    <row r="59" spans="1:17" ht="18" customHeight="1" thickBot="1">
      <c r="A59" s="12"/>
      <c r="B59" s="327" t="s">
        <v>129</v>
      </c>
      <c r="C59" s="328" t="s">
        <v>420</v>
      </c>
      <c r="D59" s="2" t="s">
        <v>11</v>
      </c>
      <c r="E59" s="28"/>
      <c r="F59" s="286">
        <v>54</v>
      </c>
      <c r="G59" s="33">
        <f t="shared" si="0"/>
        <v>0</v>
      </c>
      <c r="H59" s="248">
        <f t="shared" si="1"/>
        <v>0</v>
      </c>
      <c r="I59" s="247"/>
      <c r="J59" s="5"/>
      <c r="K59" s="5"/>
      <c r="L59" s="5"/>
      <c r="M59" s="5"/>
      <c r="N59" s="5"/>
      <c r="O59" s="5"/>
      <c r="P59" s="5"/>
      <c r="Q59" s="5"/>
    </row>
    <row r="60" spans="1:17" ht="18" customHeight="1" thickBot="1">
      <c r="A60" s="12"/>
      <c r="B60" s="327" t="s">
        <v>418</v>
      </c>
      <c r="C60" s="328" t="s">
        <v>419</v>
      </c>
      <c r="D60" s="2" t="s">
        <v>11</v>
      </c>
      <c r="E60" s="297"/>
      <c r="F60" s="286">
        <v>58</v>
      </c>
      <c r="G60" s="33">
        <f t="shared" si="0"/>
        <v>0</v>
      </c>
      <c r="H60" s="248">
        <f t="shared" si="1"/>
        <v>0</v>
      </c>
      <c r="I60" s="247"/>
      <c r="J60" s="5"/>
      <c r="K60" s="5"/>
      <c r="L60" s="5"/>
      <c r="M60" s="5"/>
      <c r="N60" s="5"/>
      <c r="O60" s="5"/>
      <c r="P60" s="5"/>
      <c r="Q60" s="5"/>
    </row>
    <row r="61" spans="1:17" ht="18" customHeight="1" thickBot="1">
      <c r="A61" s="12"/>
      <c r="B61" s="260" t="s">
        <v>421</v>
      </c>
      <c r="C61" s="332" t="s">
        <v>422</v>
      </c>
      <c r="D61" s="2" t="s">
        <v>11</v>
      </c>
      <c r="E61" s="297">
        <f>--OR('Calcul DF,DF+SF'!$J$24=2,'Calcul DF,DF+SF'!$J$24=3)
 +--OR('Calcul DF,DF+SF'!$U$24=2,'Calcul DF,DF+SF'!$U$24=3)
 +--OR('Calcul DF,DF+SF'!$AF$24=2,'Calcul DF,DF+SF'!$AF$24=3)</f>
        <v>0</v>
      </c>
      <c r="F61" s="286">
        <v>76</v>
      </c>
      <c r="G61" s="33">
        <f t="shared" si="0"/>
        <v>0</v>
      </c>
      <c r="H61" s="248">
        <f t="shared" si="1"/>
        <v>0</v>
      </c>
      <c r="I61" s="247"/>
      <c r="J61" s="5"/>
      <c r="K61" s="5"/>
      <c r="L61" s="5"/>
      <c r="M61" s="5"/>
      <c r="N61" s="5"/>
      <c r="O61" s="5"/>
      <c r="P61" s="5"/>
      <c r="Q61" s="5"/>
    </row>
    <row r="62" spans="1:17" ht="18" customHeight="1" thickBot="1">
      <c r="A62" s="12"/>
      <c r="B62" s="260" t="s">
        <v>412</v>
      </c>
      <c r="C62" s="332" t="s">
        <v>423</v>
      </c>
      <c r="D62" s="2" t="s">
        <v>11</v>
      </c>
      <c r="E62" s="297" cm="1">
        <f t="array" ref="E62">--OR('Calcul DF,DF+SF'!$J$24={4,5,6,7})
 +--OR('Calcul DF,DF+SF'!$U$24={4,5,6,7})
 +--OR('Calcul DF,DF+SF'!$AF$24={4,5,6,7})</f>
        <v>0</v>
      </c>
      <c r="F62" s="286">
        <v>82</v>
      </c>
      <c r="G62" s="33">
        <f t="shared" si="0"/>
        <v>0</v>
      </c>
      <c r="H62" s="248">
        <f t="shared" si="1"/>
        <v>0</v>
      </c>
      <c r="I62" s="247"/>
      <c r="J62" s="5"/>
      <c r="K62" s="5"/>
      <c r="L62" s="5"/>
      <c r="M62" s="5"/>
      <c r="N62" s="5"/>
      <c r="O62" s="5"/>
      <c r="P62" s="5"/>
      <c r="Q62" s="5"/>
    </row>
    <row r="63" spans="1:17" ht="18" customHeight="1" thickBot="1">
      <c r="A63" s="12"/>
      <c r="B63" s="260" t="s">
        <v>130</v>
      </c>
      <c r="C63" s="332" t="s">
        <v>424</v>
      </c>
      <c r="D63" s="2" t="s">
        <v>11</v>
      </c>
      <c r="E63" s="297" cm="1">
        <f t="array" ref="E63">--OR('Calcul DF,DF+SF'!$J$24={8,9,10,11})
 +--OR('Calcul DF,DF+SF'!$U$24={8,9,10,11})
 +--OR('Calcul DF,DF+SF'!$AF$24={8,9,10,11})</f>
        <v>0</v>
      </c>
      <c r="F63" s="286">
        <v>96</v>
      </c>
      <c r="G63" s="33">
        <f t="shared" si="0"/>
        <v>0</v>
      </c>
      <c r="H63" s="248">
        <f t="shared" si="1"/>
        <v>0</v>
      </c>
      <c r="I63" s="247"/>
      <c r="J63" s="5"/>
      <c r="K63" s="5"/>
      <c r="L63" s="5"/>
      <c r="M63" s="5"/>
      <c r="N63" s="5"/>
      <c r="O63" s="5"/>
      <c r="P63" s="5"/>
      <c r="Q63" s="5"/>
    </row>
    <row r="64" spans="1:17" ht="18" customHeight="1" thickBot="1">
      <c r="A64" s="12"/>
      <c r="B64" s="260" t="s">
        <v>131</v>
      </c>
      <c r="C64" s="332" t="s">
        <v>425</v>
      </c>
      <c r="D64" s="2" t="s">
        <v>11</v>
      </c>
      <c r="E64" s="297" cm="1">
        <f t="array" ref="E64">--OR('Calcul DF,DF+SF'!$J$24={12,13})
 +--OR('Calcul DF,DF+SF'!$U$24={12,13})
 +--OR('Calcul DF,DF+SF'!$AF$24={12,13})</f>
        <v>0</v>
      </c>
      <c r="F64" s="286">
        <v>102</v>
      </c>
      <c r="G64" s="33">
        <f t="shared" si="0"/>
        <v>0</v>
      </c>
      <c r="H64" s="248">
        <f t="shared" si="1"/>
        <v>0</v>
      </c>
      <c r="I64" s="247"/>
      <c r="J64" s="5"/>
      <c r="K64" s="5"/>
      <c r="L64" s="5"/>
      <c r="M64" s="5"/>
      <c r="N64" s="5"/>
      <c r="O64" s="5"/>
      <c r="P64" s="5"/>
      <c r="Q64" s="5"/>
    </row>
    <row r="65" spans="1:17" ht="18" customHeight="1" thickBot="1">
      <c r="A65" s="12"/>
      <c r="B65" s="260" t="s">
        <v>325</v>
      </c>
      <c r="C65" s="332" t="s">
        <v>426</v>
      </c>
      <c r="D65" s="2" t="s">
        <v>11</v>
      </c>
      <c r="E65" s="297" cm="1">
        <f t="array" ref="E65">--OR('Calcul DF,DF+SF'!$J$24={14,15})
 +--OR('Calcul DF,DF+SF'!$U$24={14,15})
 +--OR('Calcul DF,DF+SF'!$AF$24={14,15})</f>
        <v>0</v>
      </c>
      <c r="F65" s="286">
        <v>120</v>
      </c>
      <c r="G65" s="33">
        <f t="shared" si="0"/>
        <v>0</v>
      </c>
      <c r="H65" s="248">
        <f t="shared" si="1"/>
        <v>0</v>
      </c>
      <c r="I65" s="247"/>
      <c r="J65" s="5"/>
      <c r="K65" s="5"/>
      <c r="L65" s="5"/>
      <c r="M65" s="5"/>
      <c r="N65" s="5"/>
      <c r="O65" s="5"/>
      <c r="P65" s="5"/>
      <c r="Q65" s="5"/>
    </row>
    <row r="66" spans="1:17" ht="18" customHeight="1" thickBot="1">
      <c r="A66" s="12"/>
      <c r="B66" s="2" t="s">
        <v>84</v>
      </c>
      <c r="C66" s="13" t="s">
        <v>136</v>
      </c>
      <c r="D66" s="2" t="s">
        <v>13</v>
      </c>
      <c r="E66" s="137">
        <f>IF(AND(OR('Calcul DF,DF+SF'!$J$24=14, 'Calcul DF,DF+SF'!$J$24=15),
        OR('Calcul DF,DF+SF'!$U$24=14, 'Calcul DF,DF+SF'!$U$24=15),
        OR('Calcul DF,DF+SF'!$AF$24=14, 'Calcul DF,DF+SF'!$AF$24=15)), 3,
   IF(COUNTIF('Calcul DF,DF+SF'!$J$24, "14")+COUNTIF('Calcul DF,DF+SF'!$J$24, "15") +
      COUNTIF('Calcul DF,DF+SF'!$U$24, "14")+COUNTIF('Calcul DF,DF+SF'!$U$24, "15") +
      COUNTIF('Calcul DF,DF+SF'!$AF$24, "14")+COUNTIF('Calcul DF,DF+SF'!$AF$24, "15")=2, 2,
      IF(COUNTIF('Calcul DF,DF+SF'!$J$24, "14")+COUNTIF('Calcul DF,DF+SF'!$J$24, "15") +
         COUNTIF('Calcul DF,DF+SF'!$U$24, "14")+COUNTIF('Calcul DF,DF+SF'!$U$24, "15") +
         COUNTIF('Calcul DF,DF+SF'!$AF$24, "14")+COUNTIF('Calcul DF,DF+SF'!$AF$24, "15")=1, 1, 0)))</f>
        <v>0</v>
      </c>
      <c r="F66" s="286">
        <v>4</v>
      </c>
      <c r="G66" s="33">
        <f t="shared" si="0"/>
        <v>0</v>
      </c>
      <c r="H66" s="248">
        <f t="shared" ref="H66:H74" si="3">E66</f>
        <v>0</v>
      </c>
      <c r="I66" s="5"/>
      <c r="J66" s="5"/>
      <c r="K66" s="5"/>
    </row>
    <row r="67" spans="1:17" ht="18" customHeight="1" thickBot="1">
      <c r="A67" s="12"/>
      <c r="B67" s="2" t="s">
        <v>24</v>
      </c>
      <c r="C67" s="13" t="s">
        <v>137</v>
      </c>
      <c r="D67" s="2" t="s">
        <v>13</v>
      </c>
      <c r="E67" s="108">
        <f>'Calcul DF,DF+SF'!AA22</f>
        <v>0</v>
      </c>
      <c r="F67" s="286">
        <v>4</v>
      </c>
      <c r="G67" s="33">
        <f t="shared" si="0"/>
        <v>0</v>
      </c>
      <c r="H67" s="248">
        <f t="shared" si="3"/>
        <v>0</v>
      </c>
      <c r="I67" s="5"/>
      <c r="J67" s="5"/>
      <c r="K67" s="5"/>
    </row>
    <row r="68" spans="1:17" ht="18" customHeight="1" thickBot="1">
      <c r="A68" s="12"/>
      <c r="B68" s="2" t="s">
        <v>58</v>
      </c>
      <c r="C68" s="13" t="s">
        <v>138</v>
      </c>
      <c r="D68" s="2" t="s">
        <v>13</v>
      </c>
      <c r="E68" s="2">
        <f>'Calcul DF,DF+SF'!Z22</f>
        <v>0</v>
      </c>
      <c r="F68" s="286">
        <v>4</v>
      </c>
      <c r="G68" s="33">
        <f t="shared" si="0"/>
        <v>0</v>
      </c>
      <c r="H68" s="248">
        <f t="shared" si="3"/>
        <v>0</v>
      </c>
      <c r="I68" s="5"/>
      <c r="J68" s="5"/>
      <c r="K68" s="5"/>
    </row>
    <row r="69" spans="1:17" ht="18" customHeight="1" thickBot="1">
      <c r="A69" s="12"/>
      <c r="B69" s="2">
        <v>91001</v>
      </c>
      <c r="C69" s="13" t="s">
        <v>89</v>
      </c>
      <c r="D69" s="2" t="s">
        <v>13</v>
      </c>
      <c r="E69" s="2"/>
      <c r="F69" s="286">
        <v>12</v>
      </c>
      <c r="G69" s="33">
        <f t="shared" si="0"/>
        <v>0</v>
      </c>
      <c r="H69" s="248">
        <f t="shared" si="3"/>
        <v>0</v>
      </c>
      <c r="I69" s="5"/>
      <c r="J69" s="5"/>
      <c r="K69" s="5"/>
    </row>
    <row r="70" spans="1:17" ht="18" customHeight="1" thickBot="1">
      <c r="A70" s="12"/>
      <c r="B70" s="2">
        <v>91002</v>
      </c>
      <c r="C70" s="13" t="s">
        <v>89</v>
      </c>
      <c r="D70" s="2" t="s">
        <v>13</v>
      </c>
      <c r="E70" s="2"/>
      <c r="F70" s="286">
        <v>15</v>
      </c>
      <c r="G70" s="33">
        <f t="shared" si="0"/>
        <v>0</v>
      </c>
      <c r="H70" s="248">
        <f t="shared" si="3"/>
        <v>0</v>
      </c>
      <c r="I70" s="5"/>
      <c r="J70" s="5"/>
      <c r="K70" s="5"/>
    </row>
    <row r="71" spans="1:17" ht="18" customHeight="1" thickBot="1">
      <c r="A71" s="12"/>
      <c r="B71" s="2">
        <v>91201</v>
      </c>
      <c r="C71" s="13" t="s">
        <v>90</v>
      </c>
      <c r="D71" s="2" t="s">
        <v>13</v>
      </c>
      <c r="E71" s="2"/>
      <c r="F71" s="286">
        <v>21</v>
      </c>
      <c r="G71" s="33">
        <f t="shared" si="0"/>
        <v>0</v>
      </c>
      <c r="H71" s="248">
        <f t="shared" si="3"/>
        <v>0</v>
      </c>
      <c r="I71" s="5"/>
      <c r="J71" s="5"/>
      <c r="K71" s="5"/>
    </row>
    <row r="72" spans="1:17" ht="18" customHeight="1" thickBot="1">
      <c r="A72" s="12"/>
      <c r="B72" s="2">
        <v>91202</v>
      </c>
      <c r="C72" s="13" t="s">
        <v>90</v>
      </c>
      <c r="D72" s="2" t="s">
        <v>13</v>
      </c>
      <c r="E72" s="2"/>
      <c r="F72" s="286">
        <v>32</v>
      </c>
      <c r="G72" s="33">
        <f t="shared" si="0"/>
        <v>0</v>
      </c>
      <c r="H72" s="248">
        <f t="shared" si="3"/>
        <v>0</v>
      </c>
      <c r="I72" s="5"/>
      <c r="J72" s="5"/>
      <c r="K72" s="5"/>
    </row>
    <row r="73" spans="1:17" ht="18" customHeight="1" thickBot="1">
      <c r="A73" s="12"/>
      <c r="B73" s="2">
        <v>91203</v>
      </c>
      <c r="C73" s="13" t="s">
        <v>90</v>
      </c>
      <c r="D73" s="2" t="s">
        <v>13</v>
      </c>
      <c r="E73" s="2"/>
      <c r="F73" s="286">
        <v>49</v>
      </c>
      <c r="G73" s="33">
        <f t="shared" si="0"/>
        <v>0</v>
      </c>
      <c r="H73" s="248">
        <f t="shared" si="3"/>
        <v>0</v>
      </c>
      <c r="I73" s="5"/>
      <c r="J73" s="5"/>
      <c r="K73" s="5"/>
    </row>
    <row r="74" spans="1:17" ht="27.9" customHeight="1" thickBot="1">
      <c r="A74" s="35"/>
      <c r="B74" s="36" t="s">
        <v>128</v>
      </c>
      <c r="C74" s="37" t="s">
        <v>427</v>
      </c>
      <c r="D74" s="36" t="s">
        <v>11</v>
      </c>
      <c r="E74" s="135">
        <f>IF(AND('Calcul DF,DF+SF'!$J$24&gt;0, 'Calcul DF,DF+SF'!$U$24&gt;0, 'Calcul DF,DF+SF'!$AF$24&gt;0), 3,
    IF(OR(AND('Calcul DF,DF+SF'!$J$24&gt;0, 'Calcul DF,DF+SF'!$U$24&gt;0),
          AND('Calcul DF,DF+SF'!$J$24&gt;0, 'Calcul DF,DF+SF'!$AF$24&gt;0),
          AND('Calcul DF,DF+SF'!$U$24&gt;0, 'Calcul DF,DF+SF'!$AF$24&gt;0)), 2,
    IF(OR('Calcul DF,DF+SF'!$J$24&gt;0, 'Calcul DF,DF+SF'!$U$24&gt;0, 'Calcul DF,DF+SF'!$AF$24&gt;0), 1, 0)))</f>
        <v>0</v>
      </c>
      <c r="F74" s="303">
        <v>342</v>
      </c>
      <c r="G74" s="38">
        <f t="shared" si="0"/>
        <v>0</v>
      </c>
      <c r="H74" s="248">
        <f t="shared" si="3"/>
        <v>0</v>
      </c>
      <c r="I74" s="5"/>
      <c r="J74" s="5"/>
      <c r="K74" s="5"/>
    </row>
    <row r="75" spans="1:17" ht="18.75" customHeight="1" thickTop="1" thickBot="1">
      <c r="A75" s="608" t="s">
        <v>25</v>
      </c>
      <c r="B75" s="609"/>
      <c r="C75" s="609"/>
      <c r="D75" s="609"/>
      <c r="E75" s="175"/>
      <c r="F75" s="7"/>
      <c r="G75" s="176">
        <f>SUM(G21:G74)</f>
        <v>0</v>
      </c>
      <c r="H75" s="249">
        <f>G75</f>
        <v>0</v>
      </c>
      <c r="I75" s="5"/>
      <c r="J75" s="5"/>
    </row>
    <row r="76" spans="1:17" ht="18.75" customHeight="1" thickTop="1" thickBot="1">
      <c r="A76" s="522" t="s">
        <v>156</v>
      </c>
      <c r="B76" s="539"/>
      <c r="C76" s="539"/>
      <c r="D76" s="539"/>
      <c r="E76" s="47">
        <v>0.05</v>
      </c>
      <c r="F76" s="43"/>
      <c r="G76" s="48">
        <f>G75*(1-E76)</f>
        <v>0</v>
      </c>
      <c r="H76" s="249">
        <f>G76</f>
        <v>0</v>
      </c>
      <c r="I76" s="5"/>
      <c r="J76" s="5"/>
    </row>
    <row r="77" spans="1:17" ht="16.5" customHeight="1" thickTop="1" thickBot="1">
      <c r="A77" s="522" t="s">
        <v>143</v>
      </c>
      <c r="B77" s="540"/>
      <c r="C77" s="540"/>
      <c r="D77" s="540"/>
      <c r="E77" s="42"/>
      <c r="F77" s="43"/>
      <c r="G77" s="48">
        <f>G76*1.21</f>
        <v>0</v>
      </c>
      <c r="H77" s="249">
        <f>G77</f>
        <v>0</v>
      </c>
      <c r="I77" s="5"/>
      <c r="J77" s="5"/>
      <c r="K77" s="5"/>
    </row>
    <row r="78" spans="1:17" ht="16.5" customHeight="1" thickTop="1">
      <c r="A78" s="14"/>
      <c r="B78" s="15"/>
      <c r="C78" s="15"/>
      <c r="D78" s="15"/>
      <c r="E78" s="15"/>
      <c r="F78" s="15"/>
      <c r="G78" s="15"/>
      <c r="H78" s="250">
        <f>G97</f>
        <v>0</v>
      </c>
      <c r="I78" s="5"/>
      <c r="J78" s="5"/>
      <c r="K78" s="5"/>
    </row>
    <row r="79" spans="1:17" ht="42" customHeight="1">
      <c r="A79" s="14"/>
      <c r="B79" s="15"/>
      <c r="C79" s="15"/>
      <c r="D79" s="15"/>
      <c r="E79" s="15"/>
      <c r="F79" s="15"/>
      <c r="G79" s="15"/>
      <c r="H79" s="250"/>
      <c r="I79" s="5"/>
      <c r="J79" s="5"/>
      <c r="K79" s="5"/>
    </row>
    <row r="80" spans="1:17" ht="14.25" customHeight="1">
      <c r="A80" s="14"/>
      <c r="B80" s="15"/>
      <c r="C80" s="15"/>
      <c r="D80" s="15"/>
      <c r="E80" s="15"/>
      <c r="F80" s="15"/>
      <c r="G80" s="15"/>
      <c r="H80" s="250" t="s">
        <v>83</v>
      </c>
      <c r="I80" s="5"/>
      <c r="J80" s="5"/>
      <c r="K80" s="5"/>
    </row>
    <row r="81" spans="1:24" ht="18.75" customHeight="1">
      <c r="A81" s="14" t="s">
        <v>184</v>
      </c>
      <c r="B81" s="15"/>
      <c r="C81" s="15"/>
      <c r="D81" s="15"/>
      <c r="E81" s="15"/>
      <c r="F81" s="15"/>
      <c r="G81" s="15"/>
      <c r="H81" s="250" t="s">
        <v>83</v>
      </c>
      <c r="I81" s="5"/>
      <c r="J81" s="5"/>
      <c r="K81" s="5"/>
    </row>
    <row r="82" spans="1:24" ht="18" customHeight="1">
      <c r="A82" s="541" t="s">
        <v>287</v>
      </c>
      <c r="B82" s="541"/>
      <c r="C82" s="541"/>
      <c r="D82" s="541"/>
      <c r="E82" s="541"/>
      <c r="F82" s="541"/>
      <c r="G82" s="541"/>
      <c r="H82" s="250">
        <f>SUM(H90:H128)</f>
        <v>0</v>
      </c>
      <c r="I82" s="5"/>
      <c r="J82" s="5"/>
      <c r="K82" s="5"/>
      <c r="L82" s="5"/>
      <c r="M82" s="5"/>
      <c r="N82" s="5"/>
      <c r="O82" s="5"/>
      <c r="P82" s="5"/>
      <c r="Q82" s="5"/>
    </row>
    <row r="83" spans="1:24" ht="20.25" customHeight="1">
      <c r="A83" s="72"/>
      <c r="B83" s="72"/>
      <c r="C83" s="72"/>
      <c r="D83" s="72"/>
      <c r="E83" s="72"/>
      <c r="F83" s="72"/>
      <c r="G83" s="72"/>
      <c r="H83" s="250"/>
      <c r="I83" s="5"/>
      <c r="J83" s="5"/>
      <c r="K83" s="5"/>
      <c r="L83" s="5"/>
      <c r="M83" s="5"/>
      <c r="N83" s="5"/>
      <c r="O83" s="5"/>
      <c r="P83" s="5"/>
      <c r="Q83" s="5"/>
    </row>
    <row r="84" spans="1:24" ht="18" customHeight="1">
      <c r="A84" s="533" t="s">
        <v>26</v>
      </c>
      <c r="B84" s="533"/>
      <c r="C84" s="533"/>
      <c r="D84" s="533"/>
      <c r="E84" s="533"/>
      <c r="F84" s="533"/>
      <c r="G84" s="533"/>
      <c r="H84" s="250">
        <f>G101</f>
        <v>0</v>
      </c>
      <c r="I84" s="5"/>
      <c r="J84" s="5"/>
      <c r="K84" s="5"/>
      <c r="L84" s="5"/>
      <c r="M84" s="5"/>
      <c r="N84" s="5"/>
      <c r="O84" s="5"/>
      <c r="P84" s="5"/>
      <c r="Q84" s="5"/>
    </row>
    <row r="85" spans="1:24">
      <c r="A85" s="544"/>
      <c r="B85" s="544"/>
      <c r="C85" s="544"/>
      <c r="D85" s="544"/>
      <c r="E85" s="544"/>
      <c r="F85" s="544"/>
      <c r="G85" s="544"/>
      <c r="H85" s="249">
        <f>G101</f>
        <v>0</v>
      </c>
      <c r="I85" s="5"/>
      <c r="J85" s="5"/>
      <c r="K85" s="5"/>
      <c r="L85" s="5"/>
      <c r="M85" s="5"/>
      <c r="N85" s="5"/>
      <c r="O85" s="5"/>
      <c r="P85" s="5"/>
      <c r="Q85" s="5"/>
    </row>
    <row r="86" spans="1:24" ht="11.25" customHeight="1" thickBot="1">
      <c r="A86" s="16"/>
      <c r="B86" s="15"/>
      <c r="C86" s="15"/>
      <c r="D86" s="15"/>
      <c r="E86" s="15"/>
      <c r="F86" s="15"/>
      <c r="G86" s="15"/>
      <c r="H86" s="249">
        <f>G101</f>
        <v>0</v>
      </c>
      <c r="I86" s="5"/>
      <c r="J86" s="5"/>
      <c r="K86" s="5"/>
      <c r="L86" s="5"/>
      <c r="M86" s="5"/>
      <c r="N86" s="5"/>
      <c r="O86" s="5"/>
      <c r="P86" s="5"/>
      <c r="Q86" s="5"/>
    </row>
    <row r="87" spans="1:24" ht="18.75" customHeight="1" thickTop="1">
      <c r="A87" s="6" t="s">
        <v>1</v>
      </c>
      <c r="B87" s="518" t="s">
        <v>3</v>
      </c>
      <c r="C87" s="518" t="s">
        <v>4</v>
      </c>
      <c r="D87" s="518" t="s">
        <v>5</v>
      </c>
      <c r="E87" s="518" t="s">
        <v>6</v>
      </c>
      <c r="F87" s="7" t="s">
        <v>7</v>
      </c>
      <c r="G87" s="8" t="s">
        <v>9</v>
      </c>
      <c r="H87" s="249">
        <f>G101</f>
        <v>0</v>
      </c>
      <c r="I87" s="5"/>
      <c r="J87" s="5"/>
      <c r="K87" s="5"/>
      <c r="L87" s="5"/>
      <c r="M87" s="5"/>
      <c r="N87" s="5"/>
      <c r="O87" s="5"/>
      <c r="P87" s="5"/>
      <c r="Q87" s="5"/>
    </row>
    <row r="88" spans="1:24" ht="24" customHeight="1" thickBot="1">
      <c r="A88" s="17" t="s">
        <v>2</v>
      </c>
      <c r="B88" s="527"/>
      <c r="C88" s="527"/>
      <c r="D88" s="527"/>
      <c r="E88" s="527"/>
      <c r="F88" s="18" t="s">
        <v>8</v>
      </c>
      <c r="G88" s="19" t="s">
        <v>8</v>
      </c>
      <c r="H88" s="249">
        <f>G101</f>
        <v>0</v>
      </c>
      <c r="I88" s="5"/>
      <c r="J88" s="5"/>
      <c r="K88" s="5"/>
      <c r="L88" s="5"/>
      <c r="M88" s="5"/>
      <c r="N88" s="5"/>
      <c r="O88" s="5"/>
      <c r="P88" s="5"/>
      <c r="Q88" s="5"/>
    </row>
    <row r="89" spans="1:24" ht="18" customHeight="1" thickTop="1" thickBot="1">
      <c r="A89" s="531" t="s">
        <v>27</v>
      </c>
      <c r="B89" s="532"/>
      <c r="C89" s="532"/>
      <c r="D89" s="264"/>
      <c r="E89" s="264"/>
      <c r="F89" s="264"/>
      <c r="G89" s="8"/>
      <c r="H89" s="248">
        <f>SUM(H90:H92)</f>
        <v>0</v>
      </c>
      <c r="I89" s="5"/>
      <c r="J89" s="5"/>
      <c r="K89" s="5"/>
      <c r="L89" s="5"/>
      <c r="M89" s="5"/>
      <c r="N89" s="5"/>
      <c r="O89" s="5"/>
      <c r="P89" s="5"/>
      <c r="Q89" s="5"/>
      <c r="S89" s="5"/>
      <c r="T89" s="5"/>
      <c r="U89" s="5"/>
      <c r="V89" s="5"/>
      <c r="W89" s="5"/>
      <c r="X89" s="5"/>
    </row>
    <row r="90" spans="1:24" ht="27.9" customHeight="1" thickTop="1" thickBot="1">
      <c r="A90" s="266"/>
      <c r="B90" s="267" t="s">
        <v>28</v>
      </c>
      <c r="C90" s="269" t="s">
        <v>182</v>
      </c>
      <c r="D90" s="267" t="s">
        <v>11</v>
      </c>
      <c r="E90" s="267">
        <f>'Calcul DF,DF+SF'!K22</f>
        <v>0</v>
      </c>
      <c r="F90" s="287">
        <v>179</v>
      </c>
      <c r="G90" s="270">
        <f>E90*F90</f>
        <v>0</v>
      </c>
      <c r="H90" s="248">
        <f>E90</f>
        <v>0</v>
      </c>
      <c r="I90" s="5"/>
      <c r="J90" s="5"/>
      <c r="K90" s="5"/>
      <c r="L90" s="5"/>
      <c r="M90" s="5"/>
      <c r="N90" s="5"/>
      <c r="O90" s="5"/>
      <c r="P90" s="5"/>
      <c r="Q90" s="5"/>
    </row>
    <row r="91" spans="1:24" ht="18" customHeight="1" thickBot="1">
      <c r="A91" s="12"/>
      <c r="B91" s="3" t="s">
        <v>29</v>
      </c>
      <c r="C91" s="13" t="s">
        <v>30</v>
      </c>
      <c r="D91" s="3" t="s">
        <v>11</v>
      </c>
      <c r="E91" s="3">
        <f>'Calcul DF,DF+SF'!H24</f>
        <v>0</v>
      </c>
      <c r="F91" s="286">
        <v>17</v>
      </c>
      <c r="G91" s="33">
        <f t="shared" ref="G91:G96" si="4">E91*F91</f>
        <v>0</v>
      </c>
      <c r="H91" s="248">
        <f t="shared" ref="H91:H96" si="5">E91</f>
        <v>0</v>
      </c>
      <c r="I91" s="5"/>
      <c r="J91" s="5"/>
      <c r="K91" s="5"/>
      <c r="L91" s="5"/>
      <c r="M91" s="5"/>
      <c r="N91" s="5"/>
      <c r="O91" s="5"/>
      <c r="P91" s="5"/>
      <c r="Q91" s="5"/>
    </row>
    <row r="92" spans="1:24" ht="18" customHeight="1" thickBot="1">
      <c r="A92" s="161"/>
      <c r="B92" s="162" t="s">
        <v>31</v>
      </c>
      <c r="C92" s="163" t="s">
        <v>183</v>
      </c>
      <c r="D92" s="162" t="s">
        <v>11</v>
      </c>
      <c r="E92" s="162">
        <f>IF(OR('Calcul DF,DF+SF'!J22=0),0,'Calcul DF,DF+SF'!J22-1)</f>
        <v>0</v>
      </c>
      <c r="F92" s="288">
        <v>41</v>
      </c>
      <c r="G92" s="164">
        <f t="shared" si="4"/>
        <v>0</v>
      </c>
      <c r="H92" s="248">
        <f t="shared" si="5"/>
        <v>0</v>
      </c>
      <c r="I92" s="5"/>
      <c r="J92" s="5"/>
      <c r="K92" s="5"/>
      <c r="L92" s="5"/>
      <c r="M92" s="5"/>
      <c r="N92" s="5"/>
      <c r="O92" s="5"/>
      <c r="P92" s="5"/>
      <c r="Q92" s="5"/>
    </row>
    <row r="93" spans="1:24" ht="18" customHeight="1" thickTop="1" thickBot="1">
      <c r="A93" s="550" t="s">
        <v>326</v>
      </c>
      <c r="B93" s="544"/>
      <c r="C93" s="544"/>
      <c r="D93" s="14"/>
      <c r="E93" s="14"/>
      <c r="F93" s="14"/>
      <c r="G93" s="38"/>
      <c r="H93" s="248">
        <f>SUM(H94:H96)</f>
        <v>0</v>
      </c>
      <c r="I93" s="5"/>
      <c r="J93" s="5"/>
      <c r="K93" s="5"/>
      <c r="L93" s="5"/>
      <c r="M93" s="5"/>
      <c r="N93" s="5"/>
      <c r="O93" s="5"/>
      <c r="P93" s="5"/>
      <c r="Q93" s="5"/>
    </row>
    <row r="94" spans="1:24" ht="27.9" customHeight="1" thickTop="1" thickBot="1">
      <c r="A94" s="266"/>
      <c r="B94" s="267" t="s">
        <v>28</v>
      </c>
      <c r="C94" s="269" t="s">
        <v>182</v>
      </c>
      <c r="D94" s="267" t="s">
        <v>11</v>
      </c>
      <c r="E94" s="267">
        <f>'Calcul DF,DF+SF'!V22</f>
        <v>0</v>
      </c>
      <c r="F94" s="287">
        <v>179</v>
      </c>
      <c r="G94" s="270">
        <f t="shared" si="4"/>
        <v>0</v>
      </c>
      <c r="H94" s="248">
        <f t="shared" si="5"/>
        <v>0</v>
      </c>
      <c r="I94" s="5"/>
      <c r="J94" s="5"/>
      <c r="K94" s="5"/>
      <c r="L94" s="5"/>
      <c r="M94" s="5"/>
      <c r="N94" s="5"/>
      <c r="O94" s="5"/>
      <c r="P94" s="5"/>
      <c r="Q94" s="5"/>
    </row>
    <row r="95" spans="1:24" ht="18" customHeight="1" thickBot="1">
      <c r="A95" s="12"/>
      <c r="B95" s="3" t="s">
        <v>29</v>
      </c>
      <c r="C95" s="13" t="s">
        <v>30</v>
      </c>
      <c r="D95" s="3" t="s">
        <v>11</v>
      </c>
      <c r="E95" s="3">
        <f>'Calcul DF,DF+SF'!S24</f>
        <v>0</v>
      </c>
      <c r="F95" s="286">
        <v>17</v>
      </c>
      <c r="G95" s="33">
        <f t="shared" si="4"/>
        <v>0</v>
      </c>
      <c r="H95" s="248">
        <f t="shared" si="5"/>
        <v>0</v>
      </c>
      <c r="I95" s="5"/>
      <c r="J95" s="5"/>
      <c r="K95" s="5"/>
      <c r="L95" s="5"/>
      <c r="M95" s="5"/>
      <c r="N95" s="5"/>
      <c r="O95" s="5"/>
      <c r="P95" s="5"/>
      <c r="Q95" s="5"/>
    </row>
    <row r="96" spans="1:24" ht="18" customHeight="1" thickBot="1">
      <c r="A96" s="161"/>
      <c r="B96" s="162" t="s">
        <v>31</v>
      </c>
      <c r="C96" s="163" t="s">
        <v>183</v>
      </c>
      <c r="D96" s="162" t="s">
        <v>11</v>
      </c>
      <c r="E96" s="162">
        <f>IF(OR('Calcul DF,DF+SF'!U22=0),0,'Calcul DF,DF+SF'!U22-1)</f>
        <v>0</v>
      </c>
      <c r="F96" s="288">
        <v>41</v>
      </c>
      <c r="G96" s="164">
        <f t="shared" si="4"/>
        <v>0</v>
      </c>
      <c r="H96" s="248">
        <f t="shared" si="5"/>
        <v>0</v>
      </c>
      <c r="I96" s="5"/>
      <c r="J96" s="5"/>
      <c r="K96" s="5"/>
      <c r="L96" s="5"/>
      <c r="M96" s="5"/>
      <c r="N96" s="5"/>
      <c r="O96" s="5"/>
      <c r="P96" s="5"/>
      <c r="Q96" s="5"/>
    </row>
    <row r="97" spans="1:17" ht="18" customHeight="1" thickTop="1" thickBot="1">
      <c r="A97" s="550" t="s">
        <v>32</v>
      </c>
      <c r="B97" s="544"/>
      <c r="C97" s="544"/>
      <c r="D97" s="14"/>
      <c r="E97" s="14"/>
      <c r="F97" s="14"/>
      <c r="G97" s="38"/>
      <c r="H97" s="248">
        <f>SUM(H98:H100)</f>
        <v>0</v>
      </c>
      <c r="I97" s="5"/>
      <c r="J97" s="5"/>
      <c r="K97" s="5"/>
      <c r="L97" s="5"/>
      <c r="M97" s="5"/>
      <c r="N97" s="5"/>
      <c r="O97" s="5"/>
      <c r="P97" s="5"/>
      <c r="Q97" s="5"/>
    </row>
    <row r="98" spans="1:17" ht="25.5" customHeight="1" thickTop="1" thickBot="1">
      <c r="A98" s="266"/>
      <c r="B98" s="267" t="s">
        <v>28</v>
      </c>
      <c r="C98" s="269" t="s">
        <v>182</v>
      </c>
      <c r="D98" s="267" t="s">
        <v>11</v>
      </c>
      <c r="E98" s="267">
        <f>'Calcul DF,DF+SF'!AE22</f>
        <v>0</v>
      </c>
      <c r="F98" s="287">
        <v>179</v>
      </c>
      <c r="G98" s="270">
        <f>E98*F98</f>
        <v>0</v>
      </c>
      <c r="H98" s="248">
        <f>E98</f>
        <v>0</v>
      </c>
      <c r="I98" s="5"/>
      <c r="J98" s="5"/>
      <c r="K98" s="5"/>
      <c r="L98" s="5"/>
      <c r="M98" s="5"/>
      <c r="N98" s="5"/>
      <c r="O98" s="5"/>
      <c r="P98" s="5"/>
      <c r="Q98" s="5"/>
    </row>
    <row r="99" spans="1:17" ht="18" customHeight="1" thickBot="1">
      <c r="A99" s="12"/>
      <c r="B99" s="3" t="s">
        <v>29</v>
      </c>
      <c r="C99" s="13" t="s">
        <v>30</v>
      </c>
      <c r="D99" s="3" t="s">
        <v>11</v>
      </c>
      <c r="E99" s="3">
        <f>'Calcul DF,DF+SF'!AD24</f>
        <v>0</v>
      </c>
      <c r="F99" s="286">
        <v>17</v>
      </c>
      <c r="G99" s="33">
        <f>E99*F99</f>
        <v>0</v>
      </c>
      <c r="H99" s="248">
        <f>E99</f>
        <v>0</v>
      </c>
      <c r="I99" s="5"/>
      <c r="J99" s="5"/>
      <c r="K99" s="5"/>
      <c r="L99" s="5"/>
      <c r="M99" s="5"/>
      <c r="N99" s="5"/>
      <c r="O99" s="5"/>
      <c r="P99" s="5"/>
      <c r="Q99" s="5"/>
    </row>
    <row r="100" spans="1:17" ht="18" customHeight="1" thickBot="1">
      <c r="A100" s="161"/>
      <c r="B100" s="162" t="s">
        <v>31</v>
      </c>
      <c r="C100" s="163" t="s">
        <v>183</v>
      </c>
      <c r="D100" s="162" t="s">
        <v>11</v>
      </c>
      <c r="E100" s="162">
        <f>IF(OR('Calcul DF,DF+SF'!AF22=0),0,'Calcul DF,DF+SF'!AF22-1)</f>
        <v>0</v>
      </c>
      <c r="F100" s="288">
        <v>41</v>
      </c>
      <c r="G100" s="164">
        <f>E100*F100</f>
        <v>0</v>
      </c>
      <c r="H100" s="248">
        <f>E100</f>
        <v>0</v>
      </c>
      <c r="I100" s="5"/>
      <c r="J100" s="5"/>
      <c r="K100" s="5"/>
      <c r="L100" s="5"/>
      <c r="M100" s="5"/>
      <c r="N100" s="5"/>
      <c r="O100" s="5"/>
      <c r="P100" s="5"/>
      <c r="Q100" s="5"/>
    </row>
    <row r="101" spans="1:17" ht="18" customHeight="1" thickTop="1" thickBot="1">
      <c r="A101" s="537" t="s">
        <v>25</v>
      </c>
      <c r="B101" s="546"/>
      <c r="C101" s="546"/>
      <c r="D101" s="546"/>
      <c r="E101" s="546"/>
      <c r="F101" s="546"/>
      <c r="G101" s="268">
        <f>SUM(G90:G100)</f>
        <v>0</v>
      </c>
      <c r="H101" s="251">
        <f>G101</f>
        <v>0</v>
      </c>
      <c r="I101" s="5"/>
      <c r="J101" s="5"/>
      <c r="K101" s="5"/>
      <c r="L101" s="5"/>
      <c r="M101" s="5"/>
      <c r="N101" s="5"/>
      <c r="O101" s="5"/>
      <c r="P101" s="5"/>
      <c r="Q101" s="5"/>
    </row>
    <row r="102" spans="1:17" ht="18" customHeight="1" thickTop="1" thickBot="1">
      <c r="A102" s="522" t="s">
        <v>157</v>
      </c>
      <c r="B102" s="523"/>
      <c r="C102" s="523"/>
      <c r="D102" s="523"/>
      <c r="E102" s="47">
        <v>0.05</v>
      </c>
      <c r="F102" s="42"/>
      <c r="G102" s="97">
        <f>G101*(1-E102)</f>
        <v>0</v>
      </c>
      <c r="H102" s="251">
        <f>G102</f>
        <v>0</v>
      </c>
      <c r="I102" s="5"/>
      <c r="J102" s="5"/>
      <c r="K102" s="5"/>
      <c r="L102" s="5"/>
      <c r="M102" s="5"/>
      <c r="N102" s="5"/>
      <c r="O102" s="5"/>
      <c r="P102" s="5"/>
      <c r="Q102" s="5"/>
    </row>
    <row r="103" spans="1:17" ht="18" customHeight="1" thickTop="1" thickBot="1">
      <c r="A103" s="547" t="s">
        <v>143</v>
      </c>
      <c r="B103" s="548"/>
      <c r="C103" s="548"/>
      <c r="D103" s="548"/>
      <c r="E103" s="548"/>
      <c r="F103" s="548"/>
      <c r="G103" s="99">
        <f>G102*1.21</f>
        <v>0</v>
      </c>
      <c r="H103" s="251">
        <f>G103</f>
        <v>0</v>
      </c>
      <c r="I103" s="5"/>
      <c r="J103" s="5"/>
      <c r="K103" s="5"/>
      <c r="L103" s="5"/>
      <c r="M103" s="5"/>
      <c r="N103" s="5"/>
      <c r="O103" s="5"/>
      <c r="P103" s="5"/>
      <c r="Q103" s="5"/>
    </row>
    <row r="104" spans="1:17" ht="18.75" customHeight="1" thickTop="1">
      <c r="A104" s="14"/>
      <c r="B104" s="15"/>
      <c r="C104" s="15"/>
      <c r="D104" s="15"/>
      <c r="E104" s="15"/>
      <c r="F104" s="15"/>
      <c r="G104" s="15"/>
      <c r="H104" s="251">
        <f>G122</f>
        <v>0</v>
      </c>
      <c r="I104" s="5"/>
      <c r="J104" s="5"/>
      <c r="K104" s="5"/>
      <c r="L104" s="5"/>
      <c r="M104" s="5"/>
      <c r="N104" s="5"/>
      <c r="O104" s="5"/>
      <c r="P104" s="5"/>
      <c r="Q104" s="5"/>
    </row>
    <row r="105" spans="1:17" ht="18" customHeight="1">
      <c r="A105" s="549" t="s">
        <v>178</v>
      </c>
      <c r="B105" s="549"/>
      <c r="C105" s="549"/>
      <c r="D105" s="549"/>
      <c r="E105" s="549"/>
      <c r="F105" s="549"/>
      <c r="G105" s="549"/>
      <c r="H105" s="251">
        <f>G122</f>
        <v>0</v>
      </c>
      <c r="I105" s="5"/>
      <c r="J105" s="5"/>
      <c r="K105" s="5"/>
      <c r="L105" s="5"/>
      <c r="M105" s="5"/>
      <c r="N105" s="5"/>
      <c r="O105" s="5"/>
      <c r="P105" s="5"/>
      <c r="Q105" s="5"/>
    </row>
    <row r="106" spans="1:17" ht="15.9" customHeight="1">
      <c r="A106" s="544"/>
      <c r="B106" s="544"/>
      <c r="C106" s="544"/>
      <c r="D106" s="544"/>
      <c r="E106" s="544"/>
      <c r="F106" s="544"/>
      <c r="G106" s="544"/>
      <c r="H106" s="251">
        <f>G122</f>
        <v>0</v>
      </c>
      <c r="I106" s="5"/>
      <c r="J106" s="5"/>
      <c r="K106" s="5"/>
      <c r="L106" s="5"/>
      <c r="M106" s="5"/>
      <c r="N106" s="5"/>
      <c r="O106" s="5"/>
      <c r="P106" s="5"/>
      <c r="Q106" s="5"/>
    </row>
    <row r="107" spans="1:17" ht="19.5" customHeight="1" thickBot="1">
      <c r="A107" s="16"/>
      <c r="B107" s="15"/>
      <c r="C107" s="15"/>
      <c r="D107" s="15"/>
      <c r="E107" s="15"/>
      <c r="F107" s="15"/>
      <c r="G107" s="15"/>
      <c r="H107" s="251">
        <f>G122</f>
        <v>0</v>
      </c>
      <c r="I107" s="5"/>
      <c r="J107" s="5"/>
      <c r="K107" s="5"/>
      <c r="L107" s="5"/>
      <c r="M107" s="5"/>
      <c r="N107" s="5"/>
      <c r="O107" s="5"/>
      <c r="P107" s="5"/>
      <c r="Q107" s="5"/>
    </row>
    <row r="108" spans="1:17" ht="18" customHeight="1" thickTop="1">
      <c r="A108" s="6" t="s">
        <v>1</v>
      </c>
      <c r="B108" s="518" t="s">
        <v>3</v>
      </c>
      <c r="C108" s="518" t="s">
        <v>4</v>
      </c>
      <c r="D108" s="518" t="s">
        <v>5</v>
      </c>
      <c r="E108" s="518" t="s">
        <v>6</v>
      </c>
      <c r="F108" s="7" t="s">
        <v>7</v>
      </c>
      <c r="G108" s="8" t="s">
        <v>9</v>
      </c>
      <c r="H108" s="251">
        <f>G122</f>
        <v>0</v>
      </c>
      <c r="I108" s="5"/>
      <c r="J108" s="5"/>
      <c r="K108" s="5"/>
      <c r="L108" s="5"/>
      <c r="M108" s="5"/>
      <c r="N108" s="5"/>
      <c r="O108" s="5"/>
      <c r="P108" s="5"/>
      <c r="Q108" s="5"/>
    </row>
    <row r="109" spans="1:17" ht="24" customHeight="1" thickBot="1">
      <c r="A109" s="17" t="s">
        <v>2</v>
      </c>
      <c r="B109" s="527"/>
      <c r="C109" s="527"/>
      <c r="D109" s="527"/>
      <c r="E109" s="527"/>
      <c r="F109" s="18" t="s">
        <v>8</v>
      </c>
      <c r="G109" s="19" t="s">
        <v>8</v>
      </c>
      <c r="H109" s="251">
        <f>G122</f>
        <v>0</v>
      </c>
      <c r="I109" s="5"/>
      <c r="J109" s="5"/>
      <c r="K109" s="5"/>
      <c r="L109" s="5"/>
      <c r="M109" s="5"/>
      <c r="N109" s="5"/>
      <c r="O109" s="5"/>
      <c r="P109" s="5"/>
      <c r="Q109" s="5"/>
    </row>
    <row r="110" spans="1:17" ht="18" customHeight="1" thickTop="1" thickBot="1">
      <c r="A110" s="531" t="s">
        <v>27</v>
      </c>
      <c r="B110" s="532"/>
      <c r="C110" s="532"/>
      <c r="D110" s="264"/>
      <c r="E110" s="264"/>
      <c r="F110" s="264"/>
      <c r="G110" s="8"/>
      <c r="H110" s="248">
        <f>SUM(H111:H113)</f>
        <v>0</v>
      </c>
      <c r="I110" s="5"/>
      <c r="J110" s="5"/>
      <c r="K110" s="5"/>
      <c r="L110" s="5"/>
      <c r="M110" s="5"/>
      <c r="N110" s="5"/>
      <c r="O110" s="5"/>
      <c r="P110" s="5"/>
      <c r="Q110" s="5"/>
    </row>
    <row r="111" spans="1:17" ht="27.9" customHeight="1" thickTop="1" thickBot="1">
      <c r="A111" s="266"/>
      <c r="B111" s="267" t="s">
        <v>376</v>
      </c>
      <c r="C111" s="269" t="s">
        <v>379</v>
      </c>
      <c r="D111" s="267" t="s">
        <v>11</v>
      </c>
      <c r="E111" s="267">
        <f>'Calcul DF,DF+SF'!K22</f>
        <v>0</v>
      </c>
      <c r="F111" s="287">
        <v>229</v>
      </c>
      <c r="G111" s="270">
        <f>E111*F111</f>
        <v>0</v>
      </c>
      <c r="H111" s="248">
        <f>E111</f>
        <v>0</v>
      </c>
      <c r="I111" s="5"/>
      <c r="J111" s="5"/>
      <c r="K111" s="5"/>
      <c r="L111" s="5"/>
      <c r="M111" s="5"/>
      <c r="N111" s="5"/>
      <c r="O111" s="5"/>
      <c r="P111" s="5"/>
      <c r="Q111" s="5"/>
    </row>
    <row r="112" spans="1:17" ht="18" customHeight="1" thickBot="1">
      <c r="A112" s="12"/>
      <c r="B112" s="3" t="s">
        <v>29</v>
      </c>
      <c r="C112" s="13" t="s">
        <v>30</v>
      </c>
      <c r="D112" s="3" t="s">
        <v>11</v>
      </c>
      <c r="E112" s="3">
        <f>'Calcul DF,DF+SF'!H24</f>
        <v>0</v>
      </c>
      <c r="F112" s="286">
        <v>17</v>
      </c>
      <c r="G112" s="33">
        <f t="shared" ref="G112:G121" si="6">E112*F112</f>
        <v>0</v>
      </c>
      <c r="H112" s="248">
        <f>E112</f>
        <v>0</v>
      </c>
      <c r="I112" s="5"/>
      <c r="J112" s="5"/>
      <c r="K112" s="5"/>
      <c r="L112" s="5"/>
      <c r="M112" s="5"/>
      <c r="N112" s="5"/>
      <c r="O112" s="5"/>
      <c r="P112" s="5"/>
      <c r="Q112" s="5"/>
    </row>
    <row r="113" spans="1:17" ht="18" customHeight="1" thickBot="1">
      <c r="A113" s="161"/>
      <c r="B113" s="162" t="s">
        <v>377</v>
      </c>
      <c r="C113" s="163" t="s">
        <v>378</v>
      </c>
      <c r="D113" s="162" t="s">
        <v>11</v>
      </c>
      <c r="E113" s="162">
        <f>'Calcul DF,DF+SF'!J22</f>
        <v>0</v>
      </c>
      <c r="F113" s="303">
        <v>63</v>
      </c>
      <c r="G113" s="164">
        <f t="shared" si="6"/>
        <v>0</v>
      </c>
      <c r="H113" s="248">
        <f>E113</f>
        <v>0</v>
      </c>
      <c r="I113" s="5"/>
      <c r="J113" s="5"/>
      <c r="K113" s="5"/>
      <c r="L113" s="5"/>
      <c r="M113" s="5"/>
      <c r="N113" s="5"/>
      <c r="O113" s="5"/>
      <c r="P113" s="5"/>
      <c r="Q113" s="5"/>
    </row>
    <row r="114" spans="1:17" ht="18" customHeight="1" thickTop="1" thickBot="1">
      <c r="A114" s="550" t="s">
        <v>326</v>
      </c>
      <c r="B114" s="544"/>
      <c r="C114" s="544"/>
      <c r="D114" s="14"/>
      <c r="E114" s="14"/>
      <c r="F114" s="309"/>
      <c r="G114" s="38"/>
      <c r="H114" s="248">
        <f>SUM(H115:H117)</f>
        <v>0</v>
      </c>
      <c r="I114" s="5"/>
      <c r="J114" s="5"/>
      <c r="K114" s="5"/>
      <c r="L114" s="5"/>
      <c r="M114" s="5"/>
      <c r="N114" s="5"/>
      <c r="O114" s="5"/>
      <c r="P114" s="5"/>
      <c r="Q114" s="5"/>
    </row>
    <row r="115" spans="1:17" ht="27.9" customHeight="1" thickTop="1" thickBot="1">
      <c r="A115" s="266"/>
      <c r="B115" s="267" t="s">
        <v>376</v>
      </c>
      <c r="C115" s="269" t="s">
        <v>379</v>
      </c>
      <c r="D115" s="267" t="s">
        <v>11</v>
      </c>
      <c r="E115" s="267">
        <f>'Calcul DF,DF+SF'!V22</f>
        <v>0</v>
      </c>
      <c r="F115" s="287">
        <v>229</v>
      </c>
      <c r="G115" s="270">
        <f>E115*F115</f>
        <v>0</v>
      </c>
      <c r="H115" s="248">
        <f>E115</f>
        <v>0</v>
      </c>
      <c r="I115" s="5"/>
      <c r="J115" s="5"/>
      <c r="K115" s="5"/>
      <c r="L115" s="5"/>
      <c r="M115" s="5"/>
      <c r="N115" s="5"/>
      <c r="O115" s="5"/>
      <c r="P115" s="5"/>
      <c r="Q115" s="5"/>
    </row>
    <row r="116" spans="1:17" ht="18" customHeight="1" thickBot="1">
      <c r="A116" s="12"/>
      <c r="B116" s="3" t="s">
        <v>29</v>
      </c>
      <c r="C116" s="13" t="s">
        <v>30</v>
      </c>
      <c r="D116" s="3" t="s">
        <v>11</v>
      </c>
      <c r="E116" s="3">
        <f>'Calcul DF,DF+SF'!S24</f>
        <v>0</v>
      </c>
      <c r="F116" s="286">
        <v>17</v>
      </c>
      <c r="G116" s="33">
        <f>E116*F116</f>
        <v>0</v>
      </c>
      <c r="H116" s="248">
        <f>E116</f>
        <v>0</v>
      </c>
      <c r="I116" s="5"/>
      <c r="J116" s="5"/>
      <c r="K116" s="5"/>
      <c r="L116" s="5"/>
      <c r="M116" s="5"/>
      <c r="N116" s="5"/>
      <c r="O116" s="5"/>
      <c r="P116" s="5"/>
      <c r="Q116" s="5"/>
    </row>
    <row r="117" spans="1:17" ht="18" customHeight="1" thickBot="1">
      <c r="A117" s="161"/>
      <c r="B117" s="162" t="s">
        <v>377</v>
      </c>
      <c r="C117" s="163" t="s">
        <v>378</v>
      </c>
      <c r="D117" s="162" t="s">
        <v>11</v>
      </c>
      <c r="E117" s="162">
        <f>'Calcul DF,DF+SF'!U22</f>
        <v>0</v>
      </c>
      <c r="F117" s="303">
        <v>63</v>
      </c>
      <c r="G117" s="164">
        <f>E117*F117</f>
        <v>0</v>
      </c>
      <c r="H117" s="248">
        <f>E117</f>
        <v>0</v>
      </c>
      <c r="I117" s="5"/>
      <c r="J117" s="5"/>
      <c r="K117" s="5"/>
      <c r="L117" s="5"/>
      <c r="M117" s="5"/>
      <c r="N117" s="5"/>
      <c r="O117" s="5"/>
      <c r="P117" s="5"/>
      <c r="Q117" s="5"/>
    </row>
    <row r="118" spans="1:17" ht="18" customHeight="1" thickTop="1" thickBot="1">
      <c r="A118" s="550" t="s">
        <v>32</v>
      </c>
      <c r="B118" s="544"/>
      <c r="C118" s="544"/>
      <c r="D118" s="14"/>
      <c r="E118" s="14"/>
      <c r="F118" s="310"/>
      <c r="G118" s="38"/>
      <c r="H118" s="248">
        <f>SUM(H119:H121)</f>
        <v>0</v>
      </c>
      <c r="J118" s="5"/>
    </row>
    <row r="119" spans="1:17" ht="27.9" customHeight="1" thickTop="1" thickBot="1">
      <c r="A119" s="266"/>
      <c r="B119" s="267" t="s">
        <v>376</v>
      </c>
      <c r="C119" s="269" t="s">
        <v>379</v>
      </c>
      <c r="D119" s="267" t="s">
        <v>11</v>
      </c>
      <c r="E119" s="267">
        <f>'Calcul DF,DF+SF'!AE22</f>
        <v>0</v>
      </c>
      <c r="F119" s="287">
        <v>229</v>
      </c>
      <c r="G119" s="270">
        <f t="shared" si="6"/>
        <v>0</v>
      </c>
      <c r="H119" s="248">
        <f>E119</f>
        <v>0</v>
      </c>
      <c r="J119" s="5"/>
    </row>
    <row r="120" spans="1:17" ht="18" customHeight="1" thickBot="1">
      <c r="A120" s="12"/>
      <c r="B120" s="3" t="s">
        <v>29</v>
      </c>
      <c r="C120" s="13" t="s">
        <v>30</v>
      </c>
      <c r="D120" s="3" t="s">
        <v>11</v>
      </c>
      <c r="E120" s="3">
        <f>'Calcul DF,DF+SF'!AD24</f>
        <v>0</v>
      </c>
      <c r="F120" s="286">
        <v>17</v>
      </c>
      <c r="G120" s="33">
        <f t="shared" si="6"/>
        <v>0</v>
      </c>
      <c r="H120" s="248">
        <f>E120</f>
        <v>0</v>
      </c>
      <c r="J120" s="5"/>
    </row>
    <row r="121" spans="1:17" ht="18" customHeight="1" thickBot="1">
      <c r="A121" s="161"/>
      <c r="B121" s="162" t="s">
        <v>377</v>
      </c>
      <c r="C121" s="163" t="s">
        <v>378</v>
      </c>
      <c r="D121" s="162" t="s">
        <v>11</v>
      </c>
      <c r="E121" s="162">
        <f>'Calcul DF,DF+SF'!AF22</f>
        <v>0</v>
      </c>
      <c r="F121" s="288">
        <v>63</v>
      </c>
      <c r="G121" s="164">
        <f t="shared" si="6"/>
        <v>0</v>
      </c>
      <c r="H121" s="248">
        <f>E121</f>
        <v>0</v>
      </c>
      <c r="J121" s="5"/>
    </row>
    <row r="122" spans="1:17" ht="18" customHeight="1" thickTop="1" thickBot="1">
      <c r="A122" s="537" t="s">
        <v>25</v>
      </c>
      <c r="B122" s="546"/>
      <c r="C122" s="546"/>
      <c r="D122" s="546"/>
      <c r="E122" s="546"/>
      <c r="F122" s="546"/>
      <c r="G122" s="268">
        <f>SUM(G111:G121)</f>
        <v>0</v>
      </c>
      <c r="H122" s="251">
        <f>G122</f>
        <v>0</v>
      </c>
    </row>
    <row r="123" spans="1:17" ht="18" customHeight="1" thickTop="1" thickBot="1">
      <c r="A123" s="522" t="s">
        <v>157</v>
      </c>
      <c r="B123" s="539"/>
      <c r="C123" s="539"/>
      <c r="D123" s="539"/>
      <c r="E123" s="47">
        <v>0.05</v>
      </c>
      <c r="F123" s="42"/>
      <c r="G123" s="97">
        <f>G122*(1-E123)</f>
        <v>0</v>
      </c>
      <c r="H123" s="251">
        <f>G123</f>
        <v>0</v>
      </c>
    </row>
    <row r="124" spans="1:17" ht="18" customHeight="1" thickTop="1" thickBot="1">
      <c r="A124" s="522" t="s">
        <v>143</v>
      </c>
      <c r="B124" s="523"/>
      <c r="C124" s="523"/>
      <c r="D124" s="523"/>
      <c r="E124" s="523"/>
      <c r="F124" s="523"/>
      <c r="G124" s="98">
        <f>G123*1.21</f>
        <v>0</v>
      </c>
      <c r="H124" s="251">
        <f>G124</f>
        <v>0</v>
      </c>
    </row>
    <row r="125" spans="1:17" ht="18.75" customHeight="1" thickTop="1">
      <c r="A125" s="53"/>
      <c r="B125" s="53"/>
      <c r="C125" s="53"/>
      <c r="D125" s="53"/>
      <c r="E125" s="53"/>
      <c r="F125" s="53"/>
      <c r="G125" s="70"/>
      <c r="H125" s="251"/>
    </row>
    <row r="126" spans="1:17" ht="18.75" customHeight="1">
      <c r="A126" s="53"/>
      <c r="B126" s="53"/>
      <c r="C126" s="53"/>
      <c r="D126" s="53"/>
      <c r="E126" s="53"/>
      <c r="F126" s="53"/>
      <c r="G126" s="70"/>
      <c r="H126" s="251"/>
    </row>
    <row r="127" spans="1:17" ht="18.75" customHeight="1">
      <c r="A127" s="53"/>
      <c r="B127" s="53"/>
      <c r="C127" s="53"/>
      <c r="D127" s="53"/>
      <c r="E127" s="53"/>
      <c r="F127" s="53"/>
      <c r="G127" s="70"/>
      <c r="H127" s="251"/>
    </row>
    <row r="128" spans="1:17" ht="18.75" customHeight="1">
      <c r="A128" s="53"/>
      <c r="B128" s="53"/>
      <c r="C128" s="53"/>
      <c r="D128" s="53"/>
      <c r="E128" s="53"/>
      <c r="F128" s="53"/>
      <c r="G128" s="70"/>
      <c r="H128" s="251"/>
    </row>
    <row r="129" spans="1:26" ht="18" customHeight="1">
      <c r="A129" s="25"/>
      <c r="B129" s="25"/>
      <c r="C129" s="25"/>
      <c r="D129" s="25"/>
      <c r="E129" s="25"/>
      <c r="F129" s="25"/>
      <c r="G129" s="25"/>
      <c r="J129" s="81"/>
      <c r="K129" s="82"/>
      <c r="L129" s="82"/>
      <c r="M129" s="86"/>
      <c r="N129" s="86"/>
      <c r="P129" s="100"/>
      <c r="Q129" s="92"/>
      <c r="R129" s="92"/>
      <c r="S129" s="92"/>
      <c r="T129" s="69"/>
      <c r="U129" s="69"/>
      <c r="V129" s="93"/>
      <c r="W129" s="88"/>
      <c r="X129" s="89"/>
      <c r="Y129" s="89"/>
      <c r="Z129" s="69"/>
    </row>
    <row r="130" spans="1:26" ht="18" customHeight="1">
      <c r="J130" s="81"/>
      <c r="K130" s="82"/>
      <c r="L130" s="82"/>
      <c r="M130" s="86"/>
      <c r="N130" s="86"/>
      <c r="P130" s="69"/>
      <c r="Q130" s="69"/>
      <c r="R130" s="32"/>
      <c r="S130" s="92"/>
      <c r="T130" s="69"/>
      <c r="U130" s="69"/>
      <c r="V130" s="90"/>
      <c r="W130" s="86"/>
      <c r="X130" s="91"/>
      <c r="Y130" s="91"/>
      <c r="Z130" s="69"/>
    </row>
    <row r="131" spans="1:26" ht="18.75" customHeight="1">
      <c r="A131" s="520" t="s">
        <v>335</v>
      </c>
      <c r="B131" s="521"/>
      <c r="C131" s="521"/>
      <c r="D131" s="521"/>
      <c r="E131" s="521"/>
      <c r="F131" s="521"/>
      <c r="G131" s="521"/>
      <c r="H131" s="251">
        <f>SUM(H133:H137)</f>
        <v>0</v>
      </c>
    </row>
    <row r="132" spans="1:26" ht="15" thickBot="1">
      <c r="A132" s="53"/>
      <c r="B132" s="53"/>
      <c r="C132" s="53"/>
      <c r="D132" s="53"/>
      <c r="E132" s="53"/>
      <c r="F132" s="53"/>
      <c r="G132" s="70"/>
      <c r="H132" s="251"/>
    </row>
    <row r="133" spans="1:26" ht="18" customHeight="1" thickTop="1">
      <c r="A133" s="6" t="s">
        <v>1</v>
      </c>
      <c r="B133" s="518"/>
      <c r="C133" s="518" t="s">
        <v>4</v>
      </c>
      <c r="D133" s="518" t="s">
        <v>5</v>
      </c>
      <c r="E133" s="518" t="s">
        <v>6</v>
      </c>
      <c r="F133" s="7" t="s">
        <v>7</v>
      </c>
      <c r="G133" s="8" t="s">
        <v>9</v>
      </c>
      <c r="H133" s="251">
        <f>G137</f>
        <v>0</v>
      </c>
    </row>
    <row r="134" spans="1:26" ht="18" customHeight="1" thickBot="1">
      <c r="A134" s="9" t="s">
        <v>2</v>
      </c>
      <c r="B134" s="519"/>
      <c r="C134" s="519"/>
      <c r="D134" s="519"/>
      <c r="E134" s="519"/>
      <c r="F134" s="10" t="s">
        <v>330</v>
      </c>
      <c r="G134" s="11" t="s">
        <v>330</v>
      </c>
      <c r="H134" s="251">
        <f>G137</f>
        <v>0</v>
      </c>
      <c r="I134" s="90"/>
      <c r="O134" s="87"/>
    </row>
    <row r="135" spans="1:26" ht="18" customHeight="1" thickTop="1" thickBot="1">
      <c r="A135" s="12"/>
      <c r="B135" s="3"/>
      <c r="C135" s="13" t="s">
        <v>329</v>
      </c>
      <c r="D135" s="3" t="s">
        <v>92</v>
      </c>
      <c r="E135" s="212">
        <f>'Calcul DF,DF+SF'!L24</f>
        <v>0</v>
      </c>
      <c r="F135" s="150">
        <v>13</v>
      </c>
      <c r="G135" s="33">
        <f>E135*F135</f>
        <v>0</v>
      </c>
      <c r="H135" s="251">
        <f>E135</f>
        <v>0</v>
      </c>
      <c r="I135" s="86"/>
      <c r="O135" s="89"/>
    </row>
    <row r="136" spans="1:26" ht="18" customHeight="1" thickBot="1">
      <c r="A136" s="221"/>
      <c r="B136" s="222"/>
      <c r="C136" s="220" t="s">
        <v>332</v>
      </c>
      <c r="D136" s="222" t="s">
        <v>331</v>
      </c>
      <c r="E136" s="225">
        <f>IF(AND(E90=1, E94=1, E98=1), 3,
IF(OR(AND(E90=1, E94=1), AND(E90=1, E98=1), AND(E94=1, E98=1)), 2,
IF(OR(E90=1, E94=1, E98=1), 1, 0)))</f>
        <v>0</v>
      </c>
      <c r="F136" s="225">
        <v>170</v>
      </c>
      <c r="G136" s="262">
        <f>E136*F136</f>
        <v>0</v>
      </c>
      <c r="H136" s="251">
        <f>E136</f>
        <v>0</v>
      </c>
      <c r="I136" s="86"/>
      <c r="O136" s="69"/>
    </row>
    <row r="137" spans="1:26" ht="18" customHeight="1" thickTop="1" thickBot="1">
      <c r="A137" s="522" t="s">
        <v>334</v>
      </c>
      <c r="B137" s="523"/>
      <c r="C137" s="523"/>
      <c r="D137" s="523"/>
      <c r="E137" s="523"/>
      <c r="F137" s="523"/>
      <c r="G137" s="98">
        <f>SUM(G135:G136)</f>
        <v>0</v>
      </c>
      <c r="H137" s="251">
        <f>G137</f>
        <v>0</v>
      </c>
      <c r="I137" s="86"/>
      <c r="O137" s="69"/>
    </row>
    <row r="138" spans="1:26" ht="18" customHeight="1" thickTop="1">
      <c r="A138" s="53"/>
      <c r="B138" s="53"/>
      <c r="C138" s="53"/>
      <c r="D138" s="53"/>
      <c r="E138" s="53"/>
      <c r="F138" s="53"/>
      <c r="G138" s="70"/>
      <c r="H138" s="251">
        <f>SUM(H133:H137)</f>
        <v>0</v>
      </c>
      <c r="I138" s="86"/>
      <c r="J138" s="79"/>
      <c r="K138" s="80"/>
      <c r="L138" s="80"/>
      <c r="M138" s="78"/>
      <c r="N138" s="78"/>
      <c r="O138" s="69"/>
      <c r="P138" s="49"/>
      <c r="Q138" s="92"/>
      <c r="R138" s="92"/>
      <c r="S138" s="92"/>
      <c r="T138" s="69"/>
      <c r="U138" s="69"/>
      <c r="V138" s="93"/>
      <c r="W138" s="88"/>
      <c r="X138" s="89"/>
      <c r="Y138" s="89"/>
      <c r="Z138" s="69"/>
    </row>
    <row r="139" spans="1:26" ht="18.75" customHeight="1">
      <c r="A139" s="520" t="s">
        <v>336</v>
      </c>
      <c r="B139" s="521"/>
      <c r="C139" s="521"/>
      <c r="D139" s="521"/>
      <c r="E139" s="521"/>
      <c r="F139" s="521"/>
      <c r="G139" s="521"/>
      <c r="H139" s="251">
        <f>SUM(H141:H145)</f>
        <v>0</v>
      </c>
      <c r="I139" s="86"/>
      <c r="O139" s="69"/>
    </row>
    <row r="140" spans="1:26" ht="15" thickBot="1">
      <c r="A140" s="53"/>
      <c r="B140" s="53"/>
      <c r="C140" s="53"/>
      <c r="D140" s="53"/>
      <c r="E140" s="53"/>
      <c r="F140" s="53"/>
      <c r="G140" s="70"/>
      <c r="H140" s="251">
        <f>G145</f>
        <v>0</v>
      </c>
      <c r="I140" s="86"/>
      <c r="O140" s="69"/>
    </row>
    <row r="141" spans="1:26" ht="18" customHeight="1" thickTop="1">
      <c r="A141" s="6" t="s">
        <v>1</v>
      </c>
      <c r="B141" s="518"/>
      <c r="C141" s="518" t="s">
        <v>4</v>
      </c>
      <c r="D141" s="518" t="s">
        <v>5</v>
      </c>
      <c r="E141" s="518" t="s">
        <v>6</v>
      </c>
      <c r="F141" s="7" t="s">
        <v>7</v>
      </c>
      <c r="G141" s="8" t="s">
        <v>9</v>
      </c>
      <c r="H141" s="251">
        <f>G145</f>
        <v>0</v>
      </c>
      <c r="I141" s="86"/>
      <c r="O141" s="69"/>
    </row>
    <row r="142" spans="1:26" ht="18" customHeight="1" thickBot="1">
      <c r="A142" s="9" t="s">
        <v>2</v>
      </c>
      <c r="B142" s="519"/>
      <c r="C142" s="519"/>
      <c r="D142" s="519"/>
      <c r="E142" s="519"/>
      <c r="F142" s="10" t="s">
        <v>330</v>
      </c>
      <c r="G142" s="11" t="s">
        <v>330</v>
      </c>
      <c r="H142" s="251">
        <f>G145</f>
        <v>0</v>
      </c>
      <c r="I142" s="86"/>
      <c r="O142" s="69"/>
    </row>
    <row r="143" spans="1:26" ht="18" customHeight="1" thickTop="1" thickBot="1">
      <c r="A143" s="12"/>
      <c r="B143" s="3"/>
      <c r="C143" s="13" t="s">
        <v>329</v>
      </c>
      <c r="D143" s="3" t="s">
        <v>92</v>
      </c>
      <c r="E143" s="212">
        <f>'Calcul DF,DF+SF'!L24</f>
        <v>0</v>
      </c>
      <c r="F143" s="150">
        <v>13</v>
      </c>
      <c r="G143" s="33">
        <f>E143*F143</f>
        <v>0</v>
      </c>
      <c r="H143" s="251">
        <f>E143</f>
        <v>0</v>
      </c>
      <c r="I143" s="86"/>
      <c r="O143" s="69"/>
    </row>
    <row r="144" spans="1:26" ht="18" customHeight="1" thickBot="1">
      <c r="A144" s="223"/>
      <c r="B144" s="224"/>
      <c r="C144" s="219" t="s">
        <v>333</v>
      </c>
      <c r="D144" s="227" t="s">
        <v>331</v>
      </c>
      <c r="E144" s="228">
        <f>IF(AND(E111=1, E115=1, E119=1), 3,
IF(OR(AND(E111=1, E115=1), AND(E111=1, E119=1), AND(E115=1, E119=1)), 2,
IF(OR(E111=1, E115=1, E119=1), 1, 0)))</f>
        <v>0</v>
      </c>
      <c r="F144" s="228">
        <v>110</v>
      </c>
      <c r="G144" s="263">
        <f>E144*F144</f>
        <v>0</v>
      </c>
      <c r="H144" s="251">
        <f>E144</f>
        <v>0</v>
      </c>
      <c r="I144" s="86"/>
      <c r="O144" s="69"/>
    </row>
    <row r="145" spans="1:21" ht="18" customHeight="1" thickTop="1" thickBot="1">
      <c r="A145" s="522" t="s">
        <v>334</v>
      </c>
      <c r="B145" s="523"/>
      <c r="C145" s="523"/>
      <c r="D145" s="523"/>
      <c r="E145" s="523"/>
      <c r="F145" s="523"/>
      <c r="G145" s="98">
        <f>SUM(G143:G144)</f>
        <v>0</v>
      </c>
      <c r="H145" s="251">
        <f>G145</f>
        <v>0</v>
      </c>
      <c r="I145" s="86"/>
      <c r="O145" s="69"/>
    </row>
    <row r="146" spans="1:21" ht="15" thickTop="1">
      <c r="I146" s="86"/>
      <c r="O146" s="69"/>
    </row>
    <row r="147" spans="1:21">
      <c r="I147" s="195"/>
      <c r="O147" s="69"/>
    </row>
    <row r="148" spans="1:21" ht="18" customHeight="1">
      <c r="A148" s="544" t="s">
        <v>169</v>
      </c>
      <c r="B148" s="544"/>
      <c r="C148" s="544"/>
      <c r="D148" s="544"/>
      <c r="E148" s="544"/>
      <c r="F148" s="544"/>
      <c r="G148" s="544"/>
      <c r="I148" s="86"/>
      <c r="J148" s="81"/>
      <c r="K148" s="82"/>
      <c r="L148" s="80"/>
      <c r="M148" s="78"/>
      <c r="N148" s="78"/>
      <c r="O148" s="69"/>
      <c r="P148" s="49"/>
      <c r="Q148" s="50"/>
      <c r="R148" s="50"/>
      <c r="S148" s="50"/>
    </row>
    <row r="149" spans="1:21" ht="18" customHeight="1">
      <c r="A149" s="559" t="s">
        <v>170</v>
      </c>
      <c r="B149" s="559"/>
      <c r="C149" s="559"/>
      <c r="D149" s="559"/>
      <c r="E149" s="559"/>
      <c r="F149" s="559"/>
      <c r="G149" s="559"/>
      <c r="I149" s="86"/>
      <c r="J149" s="79"/>
      <c r="K149" s="80"/>
      <c r="L149" s="80"/>
      <c r="M149" s="78"/>
      <c r="N149" s="78"/>
      <c r="O149" s="69"/>
      <c r="P149" s="49"/>
      <c r="Q149" s="50"/>
      <c r="R149" s="50"/>
      <c r="S149" s="50"/>
    </row>
    <row r="150" spans="1:21" ht="27" customHeight="1">
      <c r="A150" s="559" t="s">
        <v>177</v>
      </c>
      <c r="B150" s="559"/>
      <c r="C150" s="559"/>
      <c r="D150" s="559"/>
      <c r="E150" s="559"/>
      <c r="F150" s="559"/>
      <c r="G150" s="559"/>
      <c r="I150" s="86"/>
      <c r="J150" s="79"/>
      <c r="K150" s="80"/>
      <c r="L150" s="80"/>
      <c r="M150" s="78"/>
      <c r="N150" s="78"/>
      <c r="O150" s="69"/>
      <c r="P150" s="49"/>
      <c r="Q150" s="50"/>
      <c r="R150" s="50"/>
      <c r="S150" s="50"/>
    </row>
    <row r="151" spans="1:21" ht="32.25" customHeight="1">
      <c r="A151" s="559" t="s">
        <v>328</v>
      </c>
      <c r="B151" s="559"/>
      <c r="C151" s="559"/>
      <c r="D151" s="559"/>
      <c r="E151" s="559"/>
      <c r="F151" s="559"/>
      <c r="G151" s="559"/>
      <c r="I151" s="86"/>
      <c r="J151" s="81"/>
      <c r="K151" s="82"/>
      <c r="L151" s="83"/>
      <c r="M151" s="84"/>
      <c r="N151" s="84"/>
      <c r="O151" s="69"/>
      <c r="P151" s="49"/>
      <c r="Q151" s="50"/>
      <c r="R151" s="50"/>
      <c r="S151" s="50"/>
    </row>
    <row r="152" spans="1:21" ht="30.75" customHeight="1">
      <c r="A152" s="559" t="s">
        <v>174</v>
      </c>
      <c r="B152" s="559"/>
      <c r="C152" s="559"/>
      <c r="D152" s="559"/>
      <c r="E152" s="559"/>
      <c r="F152" s="559"/>
      <c r="G152" s="559"/>
      <c r="I152" s="86"/>
      <c r="J152" s="79"/>
      <c r="K152" s="80"/>
      <c r="L152" s="80"/>
      <c r="M152" s="78"/>
      <c r="N152" s="78"/>
      <c r="O152" s="69"/>
      <c r="P152" s="49"/>
      <c r="Q152" s="50"/>
      <c r="R152" s="50"/>
      <c r="S152" s="50"/>
    </row>
    <row r="153" spans="1:21" ht="18" customHeight="1">
      <c r="A153" s="16"/>
      <c r="B153" s="16"/>
      <c r="C153" s="16"/>
      <c r="D153" s="16"/>
      <c r="E153" s="16"/>
      <c r="F153" s="16"/>
      <c r="G153" s="16"/>
      <c r="I153" s="86"/>
      <c r="J153" s="79"/>
      <c r="K153" s="80"/>
      <c r="L153" s="80"/>
      <c r="M153" s="78"/>
      <c r="N153" s="78"/>
      <c r="O153" s="69"/>
      <c r="P153" s="49"/>
      <c r="Q153" s="50"/>
      <c r="R153" s="50"/>
      <c r="S153" s="50"/>
    </row>
    <row r="154" spans="1:21" ht="18" customHeight="1">
      <c r="A154" s="560" t="s">
        <v>142</v>
      </c>
      <c r="B154" s="560"/>
      <c r="C154" s="560"/>
      <c r="G154" s="44"/>
      <c r="I154" s="86"/>
      <c r="J154" s="79"/>
      <c r="K154" s="80"/>
      <c r="L154" s="80"/>
      <c r="M154" s="78"/>
      <c r="N154" s="78"/>
      <c r="O154" s="69"/>
      <c r="P154" s="49"/>
      <c r="Q154" s="50"/>
      <c r="R154" s="50"/>
      <c r="S154" s="50"/>
    </row>
    <row r="155" spans="1:21" ht="18" customHeight="1">
      <c r="A155" s="561" t="s">
        <v>324</v>
      </c>
      <c r="B155" s="561"/>
      <c r="C155" s="561"/>
      <c r="D155" s="196"/>
      <c r="E155" s="210"/>
      <c r="F155" s="210"/>
      <c r="G155" s="211"/>
      <c r="I155" s="86"/>
      <c r="J155" s="79"/>
      <c r="K155" s="80"/>
      <c r="L155" s="80"/>
      <c r="M155" s="78"/>
      <c r="N155" s="78"/>
      <c r="O155" s="69"/>
      <c r="P155" s="49"/>
      <c r="Q155" s="50"/>
      <c r="R155" s="50"/>
      <c r="S155" s="50"/>
    </row>
    <row r="156" spans="1:21" ht="18" customHeight="1">
      <c r="A156" s="544" t="s">
        <v>56</v>
      </c>
      <c r="B156" s="544"/>
      <c r="C156" s="544"/>
      <c r="D156" s="544"/>
      <c r="E156" s="544"/>
      <c r="F156" s="544"/>
      <c r="G156" s="544"/>
      <c r="I156" s="86"/>
      <c r="J156" s="79"/>
      <c r="K156" s="80"/>
      <c r="L156" s="80"/>
      <c r="M156" s="78"/>
      <c r="N156" s="78"/>
      <c r="O156" s="69"/>
      <c r="P156" s="49"/>
      <c r="Q156" s="50"/>
      <c r="R156" s="50"/>
      <c r="S156" s="50"/>
    </row>
    <row r="157" spans="1:21" ht="18" customHeight="1">
      <c r="A157" s="544" t="s">
        <v>93</v>
      </c>
      <c r="B157" s="544"/>
      <c r="C157" s="544"/>
      <c r="D157" s="544"/>
      <c r="E157" s="544"/>
      <c r="F157" s="544"/>
      <c r="G157" s="544"/>
      <c r="I157" s="86"/>
      <c r="J157" s="79"/>
      <c r="K157" s="80"/>
      <c r="L157" s="80"/>
      <c r="M157" s="78"/>
      <c r="N157" s="78"/>
      <c r="O157" s="69"/>
      <c r="P157" s="49"/>
      <c r="Q157" s="50"/>
      <c r="R157" s="50"/>
      <c r="S157" s="50"/>
      <c r="U157" s="69"/>
    </row>
    <row r="158" spans="1:21" ht="18" customHeight="1">
      <c r="A158" s="544" t="s">
        <v>57</v>
      </c>
      <c r="B158" s="544"/>
      <c r="C158" s="544"/>
      <c r="D158" s="544"/>
      <c r="E158" s="544"/>
      <c r="F158" s="544"/>
      <c r="G158" s="544"/>
      <c r="I158" s="86"/>
      <c r="J158" s="79"/>
      <c r="K158" s="80"/>
      <c r="L158" s="80"/>
      <c r="M158" s="78"/>
      <c r="N158" s="78"/>
      <c r="O158" s="69"/>
      <c r="Q158" s="50"/>
      <c r="R158" s="50"/>
      <c r="S158" s="50"/>
    </row>
    <row r="159" spans="1:21" ht="18" customHeight="1">
      <c r="A159" s="16"/>
      <c r="B159" s="15"/>
      <c r="C159" s="15"/>
      <c r="D159" s="15"/>
      <c r="E159" s="15"/>
      <c r="F159" s="15"/>
      <c r="G159" s="15"/>
      <c r="I159" s="86"/>
      <c r="J159" s="79"/>
      <c r="K159" s="80"/>
      <c r="L159" s="80"/>
      <c r="M159" s="78"/>
      <c r="N159" s="78"/>
      <c r="O159" s="69"/>
      <c r="P159" s="49"/>
      <c r="Q159" s="50"/>
      <c r="R159" s="50"/>
      <c r="S159" s="50"/>
    </row>
    <row r="160" spans="1:21" ht="18" customHeight="1">
      <c r="A160" s="15"/>
      <c r="B160" s="21" t="s">
        <v>33</v>
      </c>
      <c r="C160" s="22"/>
      <c r="D160" s="22"/>
      <c r="E160" s="22"/>
      <c r="F160" s="22"/>
      <c r="G160" s="22"/>
      <c r="I160" s="195"/>
      <c r="J160" s="79"/>
      <c r="K160" s="80"/>
      <c r="L160" s="80"/>
      <c r="M160" s="78"/>
      <c r="N160" s="78"/>
      <c r="O160" s="69"/>
      <c r="P160" s="49"/>
      <c r="Q160" s="50"/>
      <c r="R160" s="50"/>
      <c r="S160" s="50"/>
    </row>
    <row r="161" spans="1:21" ht="18" customHeight="1">
      <c r="A161" s="15"/>
      <c r="B161" s="23"/>
      <c r="C161" s="24"/>
      <c r="D161" s="24"/>
      <c r="E161" s="24"/>
      <c r="F161" s="24"/>
      <c r="G161" s="24"/>
      <c r="I161" s="88"/>
      <c r="J161" s="79"/>
      <c r="K161" s="80"/>
      <c r="L161" s="80"/>
      <c r="M161" s="78"/>
      <c r="N161" s="78"/>
      <c r="O161" s="69"/>
      <c r="P161" s="49"/>
      <c r="Q161" s="50"/>
      <c r="R161" s="50"/>
      <c r="S161" s="50"/>
    </row>
    <row r="162" spans="1:21" ht="18" customHeight="1">
      <c r="A162" s="25"/>
      <c r="B162" s="553"/>
      <c r="C162" s="530"/>
      <c r="D162" s="25"/>
      <c r="E162" s="25"/>
      <c r="F162" s="25"/>
      <c r="G162" s="25"/>
      <c r="I162" s="69"/>
      <c r="J162" s="81"/>
      <c r="K162" s="82"/>
      <c r="L162" s="80"/>
      <c r="M162" s="78"/>
      <c r="N162" s="85"/>
      <c r="O162" s="69"/>
      <c r="P162" s="49"/>
      <c r="Q162" s="50"/>
      <c r="R162" s="50"/>
      <c r="S162" s="50"/>
    </row>
    <row r="163" spans="1:21" ht="15.75" customHeight="1">
      <c r="A163" s="25"/>
      <c r="B163" s="553" t="s">
        <v>34</v>
      </c>
      <c r="C163" s="530"/>
      <c r="D163" s="25"/>
      <c r="E163" s="25"/>
      <c r="F163" s="25"/>
      <c r="G163" s="25"/>
      <c r="I163" s="69"/>
      <c r="J163" s="77"/>
      <c r="K163" s="85"/>
      <c r="L163" s="80"/>
      <c r="M163" s="78"/>
      <c r="N163" s="85"/>
      <c r="O163" s="69"/>
      <c r="P163" s="49"/>
      <c r="Q163" s="50"/>
      <c r="R163" s="50"/>
      <c r="S163" s="50"/>
    </row>
    <row r="164" spans="1:21">
      <c r="I164" s="69"/>
      <c r="J164" s="69"/>
      <c r="K164" s="69"/>
      <c r="L164" s="69"/>
      <c r="M164" s="69"/>
      <c r="N164" s="69"/>
      <c r="O164" s="69"/>
      <c r="P164" s="69"/>
      <c r="Q164" s="69"/>
      <c r="R164" s="69"/>
      <c r="S164" s="69"/>
      <c r="T164" s="69"/>
      <c r="U164" s="69"/>
    </row>
  </sheetData>
  <autoFilter ref="H20:H145" xr:uid="{134F533A-8257-420B-8677-05E7A7ED237F}"/>
  <mergeCells count="69">
    <mergeCell ref="A155:C155"/>
    <mergeCell ref="A145:F145"/>
    <mergeCell ref="A148:G148"/>
    <mergeCell ref="A149:G149"/>
    <mergeCell ref="A150:G150"/>
    <mergeCell ref="A151:G151"/>
    <mergeCell ref="C141:C142"/>
    <mergeCell ref="D141:D142"/>
    <mergeCell ref="E141:E142"/>
    <mergeCell ref="A152:G152"/>
    <mergeCell ref="A154:C154"/>
    <mergeCell ref="A105:G105"/>
    <mergeCell ref="A106:G106"/>
    <mergeCell ref="B108:B109"/>
    <mergeCell ref="A21:C21"/>
    <mergeCell ref="A85:G85"/>
    <mergeCell ref="B87:B88"/>
    <mergeCell ref="C87:C88"/>
    <mergeCell ref="D87:D88"/>
    <mergeCell ref="E87:E88"/>
    <mergeCell ref="A24:C24"/>
    <mergeCell ref="A97:C97"/>
    <mergeCell ref="A101:F101"/>
    <mergeCell ref="A102:D102"/>
    <mergeCell ref="A89:C89"/>
    <mergeCell ref="A103:F103"/>
    <mergeCell ref="A93:C93"/>
    <mergeCell ref="A84:G84"/>
    <mergeCell ref="A31:F31"/>
    <mergeCell ref="A75:D75"/>
    <mergeCell ref="A76:D76"/>
    <mergeCell ref="A77:D77"/>
    <mergeCell ref="A82:G82"/>
    <mergeCell ref="A9:G9"/>
    <mergeCell ref="A18:G18"/>
    <mergeCell ref="B19:B20"/>
    <mergeCell ref="C19:C20"/>
    <mergeCell ref="D19:D20"/>
    <mergeCell ref="E19:E20"/>
    <mergeCell ref="A10:G10"/>
    <mergeCell ref="A11:C11"/>
    <mergeCell ref="A7:C7"/>
    <mergeCell ref="A1:C1"/>
    <mergeCell ref="A3:C3"/>
    <mergeCell ref="A4:C4"/>
    <mergeCell ref="A5:C5"/>
    <mergeCell ref="A6:C6"/>
    <mergeCell ref="C108:C109"/>
    <mergeCell ref="D108:D109"/>
    <mergeCell ref="E108:E109"/>
    <mergeCell ref="A114:C114"/>
    <mergeCell ref="A118:C118"/>
    <mergeCell ref="A110:C110"/>
    <mergeCell ref="A158:G158"/>
    <mergeCell ref="B162:C162"/>
    <mergeCell ref="B163:C163"/>
    <mergeCell ref="A122:F122"/>
    <mergeCell ref="A123:D123"/>
    <mergeCell ref="A124:F124"/>
    <mergeCell ref="A156:G156"/>
    <mergeCell ref="A157:G157"/>
    <mergeCell ref="A131:G131"/>
    <mergeCell ref="B133:B134"/>
    <mergeCell ref="C133:C134"/>
    <mergeCell ref="D133:D134"/>
    <mergeCell ref="E133:E134"/>
    <mergeCell ref="A137:F137"/>
    <mergeCell ref="A139:G139"/>
    <mergeCell ref="B141:B142"/>
  </mergeCells>
  <hyperlinks>
    <hyperlink ref="B163" r:id="rId1" xr:uid="{4DA2CE45-4809-42A8-9B1E-3D7F96D9C69F}"/>
    <hyperlink ref="A155" r:id="rId2" xr:uid="{8700195F-DB8D-438F-A41F-EE5571CCD43F}"/>
  </hyperlinks>
  <pageMargins left="0.70866141732283505" right="0.23622047244094499" top="1.14173228346457" bottom="1.1599999999999999" header="0.196850393700787" footer="0.15748031496063"/>
  <pageSetup paperSize="9" scale="83" orientation="portrait" r:id="rId3"/>
  <headerFooter scaleWithDoc="0" alignWithMargins="0">
    <oddHeader>&amp;L&amp;G&amp;R&amp;G</oddHeader>
    <oddFooter xml:space="preserve">&amp;L
RO33404978
J40/8589/2014
RO56INGB0000999915150915
ING BANK NV&amp;CStr. Învingătorilor nr. 27, Sector 3, București
Tel :  (+4) 0314.361.836
Mobil:  (+4) 0724.204.888
             (+4) 0766.367.287&amp;REmail: 
comercial@magnumheating.ro
</oddFooter>
  </headerFooter>
  <colBreaks count="1" manualBreakCount="1">
    <brk id="7" max="1048575" man="1"/>
  </colBreaks>
  <drawing r:id="rId4"/>
  <legacyDrawing r:id="rId5"/>
  <legacyDrawingHF r:id="rId6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7951D-BC45-4B55-8FF4-2AAB662D4D64}">
  <sheetPr>
    <tabColor theme="7" tint="0.39997558519241921"/>
  </sheetPr>
  <dimension ref="A1:AG189"/>
  <sheetViews>
    <sheetView topLeftCell="J9" zoomScale="115" zoomScaleNormal="115" zoomScaleSheetLayoutView="100" workbookViewId="0">
      <selection activeCell="J48" sqref="J48"/>
    </sheetView>
  </sheetViews>
  <sheetFormatPr defaultRowHeight="14.4"/>
  <cols>
    <col min="1" max="1" width="11.44140625" customWidth="1"/>
    <col min="2" max="2" width="8.44140625" customWidth="1"/>
    <col min="3" max="3" width="10.33203125" customWidth="1"/>
    <col min="4" max="4" width="11.5546875" customWidth="1"/>
    <col min="5" max="5" width="8.6640625" customWidth="1"/>
    <col min="6" max="6" width="12" customWidth="1"/>
    <col min="7" max="7" width="8.88671875" customWidth="1"/>
    <col min="8" max="8" width="9.6640625" customWidth="1"/>
    <col min="9" max="9" width="10.109375" customWidth="1"/>
    <col min="10" max="10" width="9.5546875" customWidth="1"/>
    <col min="11" max="11" width="11.5546875" customWidth="1"/>
    <col min="12" max="12" width="11.6640625" customWidth="1"/>
    <col min="14" max="14" width="9.44140625" customWidth="1"/>
    <col min="15" max="15" width="11.88671875" customWidth="1"/>
    <col min="16" max="16" width="9" customWidth="1"/>
    <col min="17" max="17" width="11.88671875" customWidth="1"/>
    <col min="19" max="19" width="9.109375" customWidth="1"/>
    <col min="20" max="20" width="9.44140625" customWidth="1"/>
    <col min="21" max="21" width="10.109375" customWidth="1"/>
    <col min="22" max="22" width="10.88671875" customWidth="1"/>
    <col min="23" max="23" width="11.6640625" customWidth="1"/>
    <col min="25" max="25" width="9.44140625" customWidth="1"/>
    <col min="26" max="26" width="11.88671875" customWidth="1"/>
    <col min="27" max="27" width="9" customWidth="1"/>
    <col min="28" max="28" width="11.88671875" customWidth="1"/>
    <col min="31" max="31" width="10.6640625" customWidth="1"/>
    <col min="32" max="32" width="10.109375" customWidth="1"/>
    <col min="33" max="33" width="10.88671875" customWidth="1"/>
  </cols>
  <sheetData>
    <row r="1" spans="1:33" ht="21" customHeight="1" thickTop="1" thickBot="1">
      <c r="A1" s="579" t="s">
        <v>196</v>
      </c>
      <c r="B1" s="580"/>
      <c r="C1" s="580"/>
      <c r="D1" s="580"/>
      <c r="E1" s="580"/>
      <c r="F1" s="580"/>
      <c r="G1" s="580"/>
      <c r="H1" s="580"/>
      <c r="I1" s="580"/>
      <c r="J1" s="580"/>
      <c r="K1" s="54"/>
      <c r="L1" s="579" t="s">
        <v>197</v>
      </c>
      <c r="M1" s="580"/>
      <c r="N1" s="580"/>
      <c r="O1" s="580"/>
      <c r="P1" s="580"/>
      <c r="Q1" s="580"/>
      <c r="R1" s="580"/>
      <c r="S1" s="580"/>
      <c r="T1" s="580"/>
      <c r="U1" s="580"/>
      <c r="W1" s="579" t="s">
        <v>337</v>
      </c>
      <c r="X1" s="580"/>
      <c r="Y1" s="580"/>
      <c r="Z1" s="580"/>
      <c r="AA1" s="580"/>
      <c r="AB1" s="580"/>
      <c r="AC1" s="580"/>
      <c r="AD1" s="580"/>
      <c r="AE1" s="580"/>
      <c r="AF1" s="580"/>
    </row>
    <row r="2" spans="1:33" ht="20.25" customHeight="1" thickTop="1" thickBot="1">
      <c r="A2" s="581" t="s">
        <v>188</v>
      </c>
      <c r="B2" s="582"/>
      <c r="C2" s="582"/>
      <c r="D2" s="582"/>
      <c r="E2" s="582"/>
      <c r="F2" s="610" t="s">
        <v>189</v>
      </c>
      <c r="G2" s="611"/>
      <c r="H2" s="611"/>
      <c r="I2" s="611"/>
      <c r="J2" s="611"/>
      <c r="K2" s="151"/>
      <c r="L2" s="581" t="s">
        <v>188</v>
      </c>
      <c r="M2" s="582"/>
      <c r="N2" s="582"/>
      <c r="O2" s="582"/>
      <c r="P2" s="582"/>
      <c r="Q2" s="610" t="s">
        <v>189</v>
      </c>
      <c r="R2" s="611"/>
      <c r="S2" s="611"/>
      <c r="T2" s="611"/>
      <c r="U2" s="611"/>
      <c r="W2" s="581" t="s">
        <v>188</v>
      </c>
      <c r="X2" s="582"/>
      <c r="Y2" s="582"/>
      <c r="Z2" s="582"/>
      <c r="AA2" s="582"/>
      <c r="AB2" s="610" t="s">
        <v>189</v>
      </c>
      <c r="AC2" s="611"/>
      <c r="AD2" s="611"/>
      <c r="AE2" s="611"/>
      <c r="AF2" s="611"/>
    </row>
    <row r="3" spans="1:33" ht="38.25" customHeight="1" thickTop="1" thickBot="1">
      <c r="A3" s="55"/>
      <c r="B3" s="55" t="s">
        <v>144</v>
      </c>
      <c r="C3" s="55" t="s">
        <v>158</v>
      </c>
      <c r="D3" s="55" t="s">
        <v>254</v>
      </c>
      <c r="E3" s="55" t="s">
        <v>278</v>
      </c>
      <c r="F3" s="55"/>
      <c r="G3" s="55" t="s">
        <v>144</v>
      </c>
      <c r="H3" s="55" t="s">
        <v>145</v>
      </c>
      <c r="I3" s="55" t="s">
        <v>257</v>
      </c>
      <c r="J3" s="55" t="s">
        <v>223</v>
      </c>
      <c r="K3" s="152" t="s">
        <v>222</v>
      </c>
      <c r="L3" s="55"/>
      <c r="M3" s="55" t="s">
        <v>144</v>
      </c>
      <c r="N3" s="55" t="s">
        <v>158</v>
      </c>
      <c r="O3" s="55" t="s">
        <v>256</v>
      </c>
      <c r="P3" s="55" t="s">
        <v>223</v>
      </c>
      <c r="Q3" s="55"/>
      <c r="R3" s="55" t="s">
        <v>144</v>
      </c>
      <c r="S3" s="55" t="s">
        <v>145</v>
      </c>
      <c r="T3" s="55" t="s">
        <v>257</v>
      </c>
      <c r="U3" s="55" t="s">
        <v>223</v>
      </c>
      <c r="V3" s="56"/>
      <c r="W3" s="55"/>
      <c r="X3" s="55" t="s">
        <v>144</v>
      </c>
      <c r="Y3" s="55" t="s">
        <v>158</v>
      </c>
      <c r="Z3" s="55" t="s">
        <v>256</v>
      </c>
      <c r="AA3" s="55" t="s">
        <v>223</v>
      </c>
      <c r="AB3" s="55"/>
      <c r="AC3" s="55" t="s">
        <v>144</v>
      </c>
      <c r="AD3" s="55" t="s">
        <v>145</v>
      </c>
      <c r="AE3" s="55" t="s">
        <v>257</v>
      </c>
      <c r="AF3" s="55" t="s">
        <v>223</v>
      </c>
      <c r="AG3" s="56"/>
    </row>
    <row r="4" spans="1:33" ht="15.9" customHeight="1" thickTop="1" thickBot="1">
      <c r="A4" s="57" t="s">
        <v>146</v>
      </c>
      <c r="B4" s="58"/>
      <c r="C4" s="141">
        <f>B4*8</f>
        <v>0</v>
      </c>
      <c r="D4" s="142">
        <f>(ROUNDUP(C4/104,0))</f>
        <v>0</v>
      </c>
      <c r="E4" s="55" t="str">
        <f>IF(AND(ISNUMBER(SEARCH("living",A4)),D4&gt;0),1,IF(AND(ISNUMBER(SEARCH("dining",A4)),D4&gt;0),1,IF(AND(ISNUMBER(SEARCH("bucatarie",A4)),D4&gt;0),1,IF(AND(ISNUMBER(SEARCH("dormitor",A4)),D4&gt;0),1,IF(AND(ISNUMBER(SEARCH("birou",A4)),D4&gt;0),1,IF(AND(ISNUMBER(SEARCH("baie",A4)),D4&gt;0),1,IF(AND(ISNUMBER(SEARCH("liv.+dining",A4)),D4&gt;0),1,IF(AND(ISNUMBER(SEARCH("camera",A4)),D4&gt;0),1,""))))))))</f>
        <v/>
      </c>
      <c r="F4" s="57" t="s">
        <v>146</v>
      </c>
      <c r="G4" s="76"/>
      <c r="H4" s="141">
        <f>G4*8</f>
        <v>0</v>
      </c>
      <c r="I4" s="142">
        <f>(ROUNDUP(H4/90,0))</f>
        <v>0</v>
      </c>
      <c r="J4" s="55" t="str">
        <f>IF(AND(ISNUMBER(SEARCH("living",F4)),I4&gt;0),1,IF(AND(ISNUMBER(SEARCH("dining",F4)),I4&gt;0),1,IF(AND(ISNUMBER(SEARCH("bucatarie",F4)),I4&gt;0),1,IF(AND(ISNUMBER(SEARCH("dormitor",F4)),I4&gt;0),1,IF(AND(ISNUMBER(SEARCH("birou",F4)),I4&gt;0),1,IF(AND(ISNUMBER(SEARCH("baie",F4)),I4&gt;0),1,IF(AND(ISNUMBER(SEARCH("liv.+dining",F4)),I4&gt;0),1,IF(AND(ISNUMBER(SEARCH("camera",F4)),I4&gt;0),1,""))))))))</f>
        <v/>
      </c>
      <c r="K4" s="55" t="s">
        <v>146</v>
      </c>
      <c r="L4" s="57" t="s">
        <v>146</v>
      </c>
      <c r="M4" s="58"/>
      <c r="N4" s="141">
        <f>M4*8</f>
        <v>0</v>
      </c>
      <c r="O4" s="142">
        <f>(ROUNDUP(N4/104,0))</f>
        <v>0</v>
      </c>
      <c r="P4" s="55" t="str">
        <f>IF(AND(ISNUMBER(SEARCH("living",L4)),O4&gt;0),1,IF(AND(ISNUMBER(SEARCH("dining",L4)),O4&gt;0),1,IF(AND(ISNUMBER(SEARCH("bucatarie",L4)),O4&gt;0),1,IF(AND(ISNUMBER(SEARCH("dormitor",L4)),O4&gt;0),1,IF(AND(ISNUMBER(SEARCH("birou",L4)),O4&gt;0),1,IF(AND(ISNUMBER(SEARCH("baie",L4)),O4&gt;0),1,IF(AND(ISNUMBER(SEARCH("liv.+dining",L4)),O4&gt;0),1,IF(AND(ISNUMBER(SEARCH("camera",L4)),O4&gt;0),1,""))))))))</f>
        <v/>
      </c>
      <c r="Q4" s="57" t="s">
        <v>146</v>
      </c>
      <c r="R4" s="59"/>
      <c r="S4" s="141">
        <f>R4*8</f>
        <v>0</v>
      </c>
      <c r="T4" s="142">
        <f>(ROUNDUP(S4/90,0))</f>
        <v>0</v>
      </c>
      <c r="U4" s="55" t="str">
        <f>IF(AND(ISNUMBER(SEARCH("living",Q4)),T4&gt;0),1,IF(AND(ISNUMBER(SEARCH("dining",Q4)),T4&gt;0),1,IF(AND(ISNUMBER(SEARCH("bucatarie",Q4)),T4&gt;0),1,IF(AND(ISNUMBER(SEARCH("dormitor",Q4)),T4&gt;0),1,IF(AND(ISNUMBER(SEARCH("birou",Q4)),T4&gt;0),1,IF(AND(ISNUMBER(SEARCH("baie",Q4)),T4&gt;0),1,IF(AND(ISNUMBER(SEARCH("liv.+dining",Q4)),T4&gt;0),1,IF(AND(ISNUMBER(SEARCH("camera",Q4)),T4&gt;0),1,""))))))))</f>
        <v/>
      </c>
      <c r="V4" s="56"/>
      <c r="W4" s="57" t="s">
        <v>146</v>
      </c>
      <c r="X4" s="58"/>
      <c r="Y4" s="141">
        <f>X4*8</f>
        <v>0</v>
      </c>
      <c r="Z4" s="142">
        <f>(ROUNDUP(Y4/104,0))</f>
        <v>0</v>
      </c>
      <c r="AA4" s="55" t="str">
        <f>IF(AND(ISNUMBER(SEARCH("living",W4)),Z4&gt;0),1,IF(AND(ISNUMBER(SEARCH("dining",W4)),Z4&gt;0),1,IF(AND(ISNUMBER(SEARCH("bucatarie",W4)),Z4&gt;0),1,IF(AND(ISNUMBER(SEARCH("dormitor",W4)),Z4&gt;0),1,IF(AND(ISNUMBER(SEARCH("birou",W4)),Z4&gt;0),1,IF(AND(ISNUMBER(SEARCH("baie",W4)),Z4&gt;0),1,IF(AND(ISNUMBER(SEARCH("liv.+dining",W4)),Z4&gt;0),1,IF(AND(ISNUMBER(SEARCH("camera",W4)),Z4&gt;0),1,""))))))))</f>
        <v/>
      </c>
      <c r="AB4" s="57" t="s">
        <v>146</v>
      </c>
      <c r="AC4" s="59"/>
      <c r="AD4" s="141">
        <f>AC4*8</f>
        <v>0</v>
      </c>
      <c r="AE4" s="142">
        <f>(ROUNDUP(AD4/90,0))</f>
        <v>0</v>
      </c>
      <c r="AF4" s="55" t="str">
        <f>IF(AND(ISNUMBER(SEARCH("living",AB4)),AE4&gt;0),1,IF(AND(ISNUMBER(SEARCH("dining",AB4)),AE4&gt;0),1,IF(AND(ISNUMBER(SEARCH("bucatarie",AB4)),AE4&gt;0),1,IF(AND(ISNUMBER(SEARCH("dormitor",AB4)),AE4&gt;0),1,IF(AND(ISNUMBER(SEARCH("birou",AB4)),AE4&gt;0),1,IF(AND(ISNUMBER(SEARCH("baie",AB4)),AE4&gt;0),1,IF(AND(ISNUMBER(SEARCH("liv.+dining",AB4)),AE4&gt;0),1,IF(AND(ISNUMBER(SEARCH("camera",AB4)),AE4&gt;0),1,""))))))))</f>
        <v/>
      </c>
      <c r="AG4" s="56"/>
    </row>
    <row r="5" spans="1:33" ht="15.9" customHeight="1" thickTop="1" thickBot="1">
      <c r="A5" s="57" t="s">
        <v>146</v>
      </c>
      <c r="B5" s="58"/>
      <c r="C5" s="141">
        <f t="shared" ref="C5:C19" si="0">B5*8</f>
        <v>0</v>
      </c>
      <c r="D5" s="142">
        <f t="shared" ref="D5:D19" si="1">(ROUNDUP(C5/104,0))</f>
        <v>0</v>
      </c>
      <c r="E5" s="55" t="str">
        <f t="shared" ref="E5:E19" si="2">IF(AND(ISNUMBER(SEARCH("living",A5)),D5&gt;0),1,IF(AND(ISNUMBER(SEARCH("dining",A5)),D5&gt;0),1,IF(AND(ISNUMBER(SEARCH("bucatarie",A5)),D5&gt;0),1,IF(AND(ISNUMBER(SEARCH("dormitor",A5)),D5&gt;0),1,IF(AND(ISNUMBER(SEARCH("birou",A5)),D5&gt;0),1,IF(AND(ISNUMBER(SEARCH("baie",A5)),D5&gt;0),1,IF(AND(ISNUMBER(SEARCH("liv.+dining",A5)),D5&gt;0),1,IF(AND(ISNUMBER(SEARCH("camera",A5)),D5&gt;0),1,""))))))))</f>
        <v/>
      </c>
      <c r="F5" s="57" t="s">
        <v>147</v>
      </c>
      <c r="G5" s="76"/>
      <c r="H5" s="141">
        <f t="shared" ref="H5:H19" si="3">G5*8</f>
        <v>0</v>
      </c>
      <c r="I5" s="142">
        <f t="shared" ref="I5:I19" si="4">(ROUNDUP(H5/90,0))</f>
        <v>0</v>
      </c>
      <c r="J5" s="55" t="str">
        <f t="shared" ref="J5:J19" si="5">IF(AND(ISNUMBER(SEARCH("living",F5)),I5&gt;0),1,IF(AND(ISNUMBER(SEARCH("dining",F5)),I5&gt;0),1,IF(AND(ISNUMBER(SEARCH("bucatarie",F5)),I5&gt;0),1,IF(AND(ISNUMBER(SEARCH("dormitor",F5)),I5&gt;0),1,IF(AND(ISNUMBER(SEARCH("birou",F5)),I5&gt;0),1,IF(AND(ISNUMBER(SEARCH("baie",F5)),I5&gt;0),1,IF(AND(ISNUMBER(SEARCH("liv.+dining",F5)),I5&gt;0),1,IF(AND(ISNUMBER(SEARCH("camera",F5)),I5&gt;0),1,""))))))))</f>
        <v/>
      </c>
      <c r="K5" s="55" t="s">
        <v>147</v>
      </c>
      <c r="L5" s="57" t="s">
        <v>146</v>
      </c>
      <c r="M5" s="58"/>
      <c r="N5" s="141">
        <f t="shared" ref="N5:N19" si="6">M5*8</f>
        <v>0</v>
      </c>
      <c r="O5" s="142">
        <f t="shared" ref="O5:O19" si="7">(ROUNDUP(N5/104,0))</f>
        <v>0</v>
      </c>
      <c r="P5" s="55" t="str">
        <f t="shared" ref="P5:P19" si="8">IF(AND(ISNUMBER(SEARCH("living",L5)),O5&gt;0),1,IF(AND(ISNUMBER(SEARCH("dining",L5)),O5&gt;0),1,IF(AND(ISNUMBER(SEARCH("bucatarie",L5)),O5&gt;0),1,IF(AND(ISNUMBER(SEARCH("dormitor",L5)),O5&gt;0),1,IF(AND(ISNUMBER(SEARCH("birou",L5)),O5&gt;0),1,IF(AND(ISNUMBER(SEARCH("baie",L5)),O5&gt;0),1,IF(AND(ISNUMBER(SEARCH("liv.+dining",L5)),O5&gt;0),1,IF(AND(ISNUMBER(SEARCH("camera",L5)),O5&gt;0),1,""))))))))</f>
        <v/>
      </c>
      <c r="Q5" s="57" t="s">
        <v>147</v>
      </c>
      <c r="R5" s="59"/>
      <c r="S5" s="141">
        <f t="shared" ref="S5:S19" si="9">R5*8</f>
        <v>0</v>
      </c>
      <c r="T5" s="142">
        <f t="shared" ref="T5:T19" si="10">(ROUNDUP(S5/90,0))</f>
        <v>0</v>
      </c>
      <c r="U5" s="55" t="str">
        <f t="shared" ref="U5:U19" si="11">IF(AND(ISNUMBER(SEARCH("living",Q5)),T5&gt;0),1,IF(AND(ISNUMBER(SEARCH("dining",Q5)),T5&gt;0),1,IF(AND(ISNUMBER(SEARCH("bucatarie",Q5)),T5&gt;0),1,IF(AND(ISNUMBER(SEARCH("dormitor",Q5)),T5&gt;0),1,IF(AND(ISNUMBER(SEARCH("birou",Q5)),T5&gt;0),1,IF(AND(ISNUMBER(SEARCH("baie",Q5)),T5&gt;0),1,IF(AND(ISNUMBER(SEARCH("liv.+dining",Q5)),T5&gt;0),1,IF(AND(ISNUMBER(SEARCH("camera",Q5)),T5&gt;0),1,""))))))))</f>
        <v/>
      </c>
      <c r="V5" s="56"/>
      <c r="W5" s="57" t="s">
        <v>146</v>
      </c>
      <c r="X5" s="58"/>
      <c r="Y5" s="141">
        <f t="shared" ref="Y5:Y19" si="12">X5*8</f>
        <v>0</v>
      </c>
      <c r="Z5" s="142">
        <f t="shared" ref="Z5:Z19" si="13">(ROUNDUP(Y5/104,0))</f>
        <v>0</v>
      </c>
      <c r="AA5" s="55" t="str">
        <f t="shared" ref="AA5:AA19" si="14">IF(AND(ISNUMBER(SEARCH("living",W5)),Z5&gt;0),1,IF(AND(ISNUMBER(SEARCH("dining",W5)),Z5&gt;0),1,IF(AND(ISNUMBER(SEARCH("bucatarie",W5)),Z5&gt;0),1,IF(AND(ISNUMBER(SEARCH("dormitor",W5)),Z5&gt;0),1,IF(AND(ISNUMBER(SEARCH("birou",W5)),Z5&gt;0),1,IF(AND(ISNUMBER(SEARCH("baie",W5)),Z5&gt;0),1,IF(AND(ISNUMBER(SEARCH("liv.+dining",W5)),Z5&gt;0),1,IF(AND(ISNUMBER(SEARCH("camera",W5)),Z5&gt;0),1,""))))))))</f>
        <v/>
      </c>
      <c r="AB5" s="57" t="s">
        <v>147</v>
      </c>
      <c r="AC5" s="59"/>
      <c r="AD5" s="141">
        <f t="shared" ref="AD5:AD19" si="15">AC5*8</f>
        <v>0</v>
      </c>
      <c r="AE5" s="142">
        <f t="shared" ref="AE5:AE19" si="16">(ROUNDUP(AD5/90,0))</f>
        <v>0</v>
      </c>
      <c r="AF5" s="55" t="str">
        <f t="shared" ref="AF5:AF19" si="17">IF(AND(ISNUMBER(SEARCH("living",AB5)),AE5&gt;0),1,IF(AND(ISNUMBER(SEARCH("dining",AB5)),AE5&gt;0),1,IF(AND(ISNUMBER(SEARCH("bucatarie",AB5)),AE5&gt;0),1,IF(AND(ISNUMBER(SEARCH("dormitor",AB5)),AE5&gt;0),1,IF(AND(ISNUMBER(SEARCH("birou",AB5)),AE5&gt;0),1,IF(AND(ISNUMBER(SEARCH("baie",AB5)),AE5&gt;0),1,IF(AND(ISNUMBER(SEARCH("liv.+dining",AB5)),AE5&gt;0),1,IF(AND(ISNUMBER(SEARCH("camera",AB5)),AE5&gt;0),1,""))))))))</f>
        <v/>
      </c>
      <c r="AG5" s="56"/>
    </row>
    <row r="6" spans="1:33" ht="15.9" customHeight="1" thickTop="1" thickBot="1">
      <c r="A6" s="57" t="s">
        <v>147</v>
      </c>
      <c r="B6" s="58"/>
      <c r="C6" s="141">
        <f t="shared" si="0"/>
        <v>0</v>
      </c>
      <c r="D6" s="142">
        <f t="shared" si="1"/>
        <v>0</v>
      </c>
      <c r="E6" s="55" t="str">
        <f t="shared" si="2"/>
        <v/>
      </c>
      <c r="F6" s="57" t="s">
        <v>148</v>
      </c>
      <c r="G6" s="76"/>
      <c r="H6" s="141">
        <f t="shared" si="3"/>
        <v>0</v>
      </c>
      <c r="I6" s="142">
        <f t="shared" si="4"/>
        <v>0</v>
      </c>
      <c r="J6" s="55" t="str">
        <f t="shared" si="5"/>
        <v/>
      </c>
      <c r="K6" s="55" t="s">
        <v>148</v>
      </c>
      <c r="L6" s="57" t="s">
        <v>147</v>
      </c>
      <c r="M6" s="58"/>
      <c r="N6" s="141">
        <f t="shared" si="6"/>
        <v>0</v>
      </c>
      <c r="O6" s="142">
        <f t="shared" si="7"/>
        <v>0</v>
      </c>
      <c r="P6" s="55" t="str">
        <f t="shared" si="8"/>
        <v/>
      </c>
      <c r="Q6" s="57" t="s">
        <v>148</v>
      </c>
      <c r="R6" s="59"/>
      <c r="S6" s="141">
        <f t="shared" si="9"/>
        <v>0</v>
      </c>
      <c r="T6" s="142">
        <f t="shared" si="10"/>
        <v>0</v>
      </c>
      <c r="U6" s="55" t="str">
        <f t="shared" si="11"/>
        <v/>
      </c>
      <c r="V6" s="56"/>
      <c r="W6" s="57" t="s">
        <v>147</v>
      </c>
      <c r="X6" s="58"/>
      <c r="Y6" s="141">
        <f t="shared" si="12"/>
        <v>0</v>
      </c>
      <c r="Z6" s="142">
        <f t="shared" si="13"/>
        <v>0</v>
      </c>
      <c r="AA6" s="55" t="str">
        <f t="shared" si="14"/>
        <v/>
      </c>
      <c r="AB6" s="57" t="s">
        <v>148</v>
      </c>
      <c r="AC6" s="59"/>
      <c r="AD6" s="141">
        <f t="shared" si="15"/>
        <v>0</v>
      </c>
      <c r="AE6" s="142">
        <f t="shared" si="16"/>
        <v>0</v>
      </c>
      <c r="AF6" s="55" t="str">
        <f t="shared" si="17"/>
        <v/>
      </c>
      <c r="AG6" s="56"/>
    </row>
    <row r="7" spans="1:33" ht="15.9" customHeight="1" thickTop="1" thickBot="1">
      <c r="A7" s="57" t="s">
        <v>148</v>
      </c>
      <c r="B7" s="58"/>
      <c r="C7" s="141">
        <f t="shared" si="0"/>
        <v>0</v>
      </c>
      <c r="D7" s="142">
        <f t="shared" si="1"/>
        <v>0</v>
      </c>
      <c r="E7" s="55" t="str">
        <f t="shared" si="2"/>
        <v/>
      </c>
      <c r="F7" s="57" t="s">
        <v>149</v>
      </c>
      <c r="G7" s="76"/>
      <c r="H7" s="141">
        <f t="shared" si="3"/>
        <v>0</v>
      </c>
      <c r="I7" s="142">
        <f t="shared" si="4"/>
        <v>0</v>
      </c>
      <c r="J7" s="55" t="str">
        <f t="shared" si="5"/>
        <v/>
      </c>
      <c r="K7" s="55" t="s">
        <v>149</v>
      </c>
      <c r="L7" s="57" t="s">
        <v>148</v>
      </c>
      <c r="M7" s="58"/>
      <c r="N7" s="141">
        <f t="shared" si="6"/>
        <v>0</v>
      </c>
      <c r="O7" s="142">
        <f t="shared" si="7"/>
        <v>0</v>
      </c>
      <c r="P7" s="55" t="str">
        <f t="shared" si="8"/>
        <v/>
      </c>
      <c r="Q7" s="57" t="s">
        <v>149</v>
      </c>
      <c r="R7" s="59"/>
      <c r="S7" s="141">
        <f t="shared" si="9"/>
        <v>0</v>
      </c>
      <c r="T7" s="142">
        <f t="shared" si="10"/>
        <v>0</v>
      </c>
      <c r="U7" s="55" t="str">
        <f t="shared" si="11"/>
        <v/>
      </c>
      <c r="V7" s="56"/>
      <c r="W7" s="57" t="s">
        <v>148</v>
      </c>
      <c r="X7" s="58"/>
      <c r="Y7" s="141">
        <f t="shared" si="12"/>
        <v>0</v>
      </c>
      <c r="Z7" s="142">
        <f t="shared" si="13"/>
        <v>0</v>
      </c>
      <c r="AA7" s="55" t="str">
        <f t="shared" si="14"/>
        <v/>
      </c>
      <c r="AB7" s="57" t="s">
        <v>149</v>
      </c>
      <c r="AC7" s="59"/>
      <c r="AD7" s="141">
        <f t="shared" si="15"/>
        <v>0</v>
      </c>
      <c r="AE7" s="142">
        <f t="shared" si="16"/>
        <v>0</v>
      </c>
      <c r="AF7" s="55" t="str">
        <f t="shared" si="17"/>
        <v/>
      </c>
      <c r="AG7" s="56"/>
    </row>
    <row r="8" spans="1:33" ht="15.9" customHeight="1" thickTop="1" thickBot="1">
      <c r="A8" s="57" t="s">
        <v>146</v>
      </c>
      <c r="B8" s="58"/>
      <c r="C8" s="141">
        <f t="shared" si="0"/>
        <v>0</v>
      </c>
      <c r="D8" s="142">
        <f t="shared" si="1"/>
        <v>0</v>
      </c>
      <c r="E8" s="55" t="str">
        <f t="shared" si="2"/>
        <v/>
      </c>
      <c r="F8" s="57" t="s">
        <v>153</v>
      </c>
      <c r="G8" s="76"/>
      <c r="H8" s="141">
        <f t="shared" si="3"/>
        <v>0</v>
      </c>
      <c r="I8" s="142">
        <f t="shared" si="4"/>
        <v>0</v>
      </c>
      <c r="J8" s="55" t="str">
        <f t="shared" si="5"/>
        <v/>
      </c>
      <c r="K8" s="55" t="s">
        <v>154</v>
      </c>
      <c r="L8" s="57" t="s">
        <v>146</v>
      </c>
      <c r="M8" s="58"/>
      <c r="N8" s="141">
        <f t="shared" si="6"/>
        <v>0</v>
      </c>
      <c r="O8" s="142">
        <f t="shared" si="7"/>
        <v>0</v>
      </c>
      <c r="P8" s="55" t="str">
        <f t="shared" si="8"/>
        <v/>
      </c>
      <c r="Q8" s="57" t="s">
        <v>153</v>
      </c>
      <c r="R8" s="59"/>
      <c r="S8" s="141">
        <f t="shared" si="9"/>
        <v>0</v>
      </c>
      <c r="T8" s="142">
        <f t="shared" si="10"/>
        <v>0</v>
      </c>
      <c r="U8" s="55" t="str">
        <f t="shared" si="11"/>
        <v/>
      </c>
      <c r="V8" s="56"/>
      <c r="W8" s="57" t="s">
        <v>146</v>
      </c>
      <c r="X8" s="58"/>
      <c r="Y8" s="141">
        <f t="shared" si="12"/>
        <v>0</v>
      </c>
      <c r="Z8" s="142">
        <f t="shared" si="13"/>
        <v>0</v>
      </c>
      <c r="AA8" s="55" t="str">
        <f t="shared" si="14"/>
        <v/>
      </c>
      <c r="AB8" s="57" t="s">
        <v>153</v>
      </c>
      <c r="AC8" s="59"/>
      <c r="AD8" s="141">
        <f t="shared" si="15"/>
        <v>0</v>
      </c>
      <c r="AE8" s="142">
        <f t="shared" si="16"/>
        <v>0</v>
      </c>
      <c r="AF8" s="55" t="str">
        <f t="shared" si="17"/>
        <v/>
      </c>
      <c r="AG8" s="56"/>
    </row>
    <row r="9" spans="1:33" ht="15.9" customHeight="1" thickTop="1" thickBot="1">
      <c r="A9" s="57" t="s">
        <v>153</v>
      </c>
      <c r="B9" s="58"/>
      <c r="C9" s="141">
        <f t="shared" si="0"/>
        <v>0</v>
      </c>
      <c r="D9" s="142">
        <f t="shared" si="1"/>
        <v>0</v>
      </c>
      <c r="E9" s="55" t="str">
        <f t="shared" si="2"/>
        <v/>
      </c>
      <c r="F9" s="57" t="s">
        <v>159</v>
      </c>
      <c r="G9" s="76"/>
      <c r="H9" s="141">
        <f t="shared" si="3"/>
        <v>0</v>
      </c>
      <c r="I9" s="142">
        <f t="shared" si="4"/>
        <v>0</v>
      </c>
      <c r="J9" s="55" t="str">
        <f t="shared" si="5"/>
        <v/>
      </c>
      <c r="K9" s="55" t="s">
        <v>155</v>
      </c>
      <c r="L9" s="57" t="s">
        <v>153</v>
      </c>
      <c r="M9" s="58"/>
      <c r="N9" s="141">
        <f t="shared" si="6"/>
        <v>0</v>
      </c>
      <c r="O9" s="142">
        <f t="shared" si="7"/>
        <v>0</v>
      </c>
      <c r="P9" s="55" t="str">
        <f t="shared" si="8"/>
        <v/>
      </c>
      <c r="Q9" s="57" t="s">
        <v>159</v>
      </c>
      <c r="R9" s="59"/>
      <c r="S9" s="141">
        <f t="shared" si="9"/>
        <v>0</v>
      </c>
      <c r="T9" s="142">
        <f t="shared" si="10"/>
        <v>0</v>
      </c>
      <c r="U9" s="55" t="str">
        <f t="shared" si="11"/>
        <v/>
      </c>
      <c r="V9" s="56"/>
      <c r="W9" s="57" t="s">
        <v>153</v>
      </c>
      <c r="X9" s="58"/>
      <c r="Y9" s="141">
        <f t="shared" si="12"/>
        <v>0</v>
      </c>
      <c r="Z9" s="142">
        <f t="shared" si="13"/>
        <v>0</v>
      </c>
      <c r="AA9" s="55" t="str">
        <f t="shared" si="14"/>
        <v/>
      </c>
      <c r="AB9" s="57" t="s">
        <v>159</v>
      </c>
      <c r="AC9" s="59"/>
      <c r="AD9" s="141">
        <f t="shared" si="15"/>
        <v>0</v>
      </c>
      <c r="AE9" s="142">
        <f t="shared" si="16"/>
        <v>0</v>
      </c>
      <c r="AF9" s="55" t="str">
        <f t="shared" si="17"/>
        <v/>
      </c>
      <c r="AG9" s="56"/>
    </row>
    <row r="10" spans="1:33" ht="15.9" customHeight="1" thickTop="1" thickBot="1">
      <c r="A10" s="60" t="s">
        <v>150</v>
      </c>
      <c r="B10" s="58"/>
      <c r="C10" s="141">
        <f t="shared" si="0"/>
        <v>0</v>
      </c>
      <c r="D10" s="142">
        <f t="shared" si="1"/>
        <v>0</v>
      </c>
      <c r="E10" s="55" t="str">
        <f t="shared" si="2"/>
        <v/>
      </c>
      <c r="F10" s="60" t="s">
        <v>150</v>
      </c>
      <c r="G10" s="76"/>
      <c r="H10" s="141">
        <f t="shared" si="3"/>
        <v>0</v>
      </c>
      <c r="I10" s="142">
        <f t="shared" si="4"/>
        <v>0</v>
      </c>
      <c r="J10" s="55" t="str">
        <f t="shared" si="5"/>
        <v/>
      </c>
      <c r="K10" s="55" t="s">
        <v>152</v>
      </c>
      <c r="L10" s="60" t="s">
        <v>150</v>
      </c>
      <c r="M10" s="58"/>
      <c r="N10" s="141">
        <f t="shared" si="6"/>
        <v>0</v>
      </c>
      <c r="O10" s="142">
        <f t="shared" si="7"/>
        <v>0</v>
      </c>
      <c r="P10" s="55" t="str">
        <f t="shared" si="8"/>
        <v/>
      </c>
      <c r="Q10" s="60" t="s">
        <v>150</v>
      </c>
      <c r="R10" s="59"/>
      <c r="S10" s="141">
        <f t="shared" si="9"/>
        <v>0</v>
      </c>
      <c r="T10" s="142">
        <f t="shared" si="10"/>
        <v>0</v>
      </c>
      <c r="U10" s="55" t="str">
        <f t="shared" si="11"/>
        <v/>
      </c>
      <c r="V10" s="56"/>
      <c r="W10" s="60" t="s">
        <v>150</v>
      </c>
      <c r="X10" s="58"/>
      <c r="Y10" s="141">
        <f t="shared" si="12"/>
        <v>0</v>
      </c>
      <c r="Z10" s="142">
        <f t="shared" si="13"/>
        <v>0</v>
      </c>
      <c r="AA10" s="55" t="str">
        <f t="shared" si="14"/>
        <v/>
      </c>
      <c r="AB10" s="60" t="s">
        <v>150</v>
      </c>
      <c r="AC10" s="59"/>
      <c r="AD10" s="141">
        <f t="shared" si="15"/>
        <v>0</v>
      </c>
      <c r="AE10" s="142">
        <f t="shared" si="16"/>
        <v>0</v>
      </c>
      <c r="AF10" s="55" t="str">
        <f t="shared" si="17"/>
        <v/>
      </c>
      <c r="AG10" s="56"/>
    </row>
    <row r="11" spans="1:33" ht="15.9" customHeight="1" thickTop="1" thickBot="1">
      <c r="A11" s="60" t="s">
        <v>151</v>
      </c>
      <c r="B11" s="58"/>
      <c r="C11" s="141">
        <f t="shared" si="0"/>
        <v>0</v>
      </c>
      <c r="D11" s="142">
        <f t="shared" si="1"/>
        <v>0</v>
      </c>
      <c r="E11" s="55" t="str">
        <f t="shared" si="2"/>
        <v/>
      </c>
      <c r="F11" s="60" t="s">
        <v>151</v>
      </c>
      <c r="G11" s="76"/>
      <c r="H11" s="141">
        <f t="shared" si="3"/>
        <v>0</v>
      </c>
      <c r="I11" s="142">
        <f t="shared" si="4"/>
        <v>0</v>
      </c>
      <c r="J11" s="55" t="str">
        <f t="shared" si="5"/>
        <v/>
      </c>
      <c r="K11" s="55" t="s">
        <v>221</v>
      </c>
      <c r="L11" s="60" t="s">
        <v>151</v>
      </c>
      <c r="M11" s="58"/>
      <c r="N11" s="141">
        <f t="shared" si="6"/>
        <v>0</v>
      </c>
      <c r="O11" s="142">
        <f t="shared" si="7"/>
        <v>0</v>
      </c>
      <c r="P11" s="55" t="str">
        <f t="shared" si="8"/>
        <v/>
      </c>
      <c r="Q11" s="60" t="s">
        <v>151</v>
      </c>
      <c r="R11" s="59"/>
      <c r="S11" s="141">
        <f t="shared" si="9"/>
        <v>0</v>
      </c>
      <c r="T11" s="142">
        <f t="shared" si="10"/>
        <v>0</v>
      </c>
      <c r="U11" s="55" t="str">
        <f t="shared" si="11"/>
        <v/>
      </c>
      <c r="V11" s="56"/>
      <c r="W11" s="60" t="s">
        <v>151</v>
      </c>
      <c r="X11" s="58"/>
      <c r="Y11" s="141">
        <f t="shared" si="12"/>
        <v>0</v>
      </c>
      <c r="Z11" s="142">
        <f t="shared" si="13"/>
        <v>0</v>
      </c>
      <c r="AA11" s="55" t="str">
        <f t="shared" si="14"/>
        <v/>
      </c>
      <c r="AB11" s="60" t="s">
        <v>151</v>
      </c>
      <c r="AC11" s="59"/>
      <c r="AD11" s="141">
        <f t="shared" si="15"/>
        <v>0</v>
      </c>
      <c r="AE11" s="142">
        <f t="shared" si="16"/>
        <v>0</v>
      </c>
      <c r="AF11" s="55" t="str">
        <f t="shared" si="17"/>
        <v/>
      </c>
      <c r="AG11" s="56"/>
    </row>
    <row r="12" spans="1:33" ht="15.9" customHeight="1" thickTop="1" thickBot="1">
      <c r="A12" s="60" t="s">
        <v>221</v>
      </c>
      <c r="B12" s="58"/>
      <c r="C12" s="141">
        <f t="shared" si="0"/>
        <v>0</v>
      </c>
      <c r="D12" s="142">
        <f t="shared" si="1"/>
        <v>0</v>
      </c>
      <c r="E12" s="55" t="str">
        <f t="shared" si="2"/>
        <v/>
      </c>
      <c r="F12" s="60" t="s">
        <v>152</v>
      </c>
      <c r="G12" s="76"/>
      <c r="H12" s="141">
        <f t="shared" si="3"/>
        <v>0</v>
      </c>
      <c r="I12" s="142">
        <f t="shared" si="4"/>
        <v>0</v>
      </c>
      <c r="J12" s="55" t="str">
        <f t="shared" si="5"/>
        <v/>
      </c>
      <c r="K12" s="56"/>
      <c r="L12" s="60" t="s">
        <v>221</v>
      </c>
      <c r="M12" s="58"/>
      <c r="N12" s="141">
        <f t="shared" si="6"/>
        <v>0</v>
      </c>
      <c r="O12" s="142">
        <f t="shared" si="7"/>
        <v>0</v>
      </c>
      <c r="P12" s="55" t="str">
        <f t="shared" si="8"/>
        <v/>
      </c>
      <c r="Q12" s="60" t="s">
        <v>152</v>
      </c>
      <c r="R12" s="59"/>
      <c r="S12" s="141">
        <f t="shared" si="9"/>
        <v>0</v>
      </c>
      <c r="T12" s="142">
        <f t="shared" si="10"/>
        <v>0</v>
      </c>
      <c r="U12" s="55" t="str">
        <f t="shared" si="11"/>
        <v/>
      </c>
      <c r="V12" s="56"/>
      <c r="W12" s="60" t="s">
        <v>221</v>
      </c>
      <c r="X12" s="58"/>
      <c r="Y12" s="141">
        <f t="shared" si="12"/>
        <v>0</v>
      </c>
      <c r="Z12" s="142">
        <f t="shared" si="13"/>
        <v>0</v>
      </c>
      <c r="AA12" s="55" t="str">
        <f t="shared" si="14"/>
        <v/>
      </c>
      <c r="AB12" s="60" t="s">
        <v>152</v>
      </c>
      <c r="AC12" s="59"/>
      <c r="AD12" s="141">
        <f t="shared" si="15"/>
        <v>0</v>
      </c>
      <c r="AE12" s="142">
        <f t="shared" si="16"/>
        <v>0</v>
      </c>
      <c r="AF12" s="55" t="str">
        <f t="shared" si="17"/>
        <v/>
      </c>
      <c r="AG12" s="56"/>
    </row>
    <row r="13" spans="1:33" ht="15.9" customHeight="1" thickTop="1" thickBot="1">
      <c r="A13" s="60" t="s">
        <v>190</v>
      </c>
      <c r="B13" s="58"/>
      <c r="C13" s="141">
        <f t="shared" si="0"/>
        <v>0</v>
      </c>
      <c r="D13" s="142">
        <f t="shared" si="1"/>
        <v>0</v>
      </c>
      <c r="E13" s="55" t="str">
        <f t="shared" si="2"/>
        <v/>
      </c>
      <c r="F13" s="60" t="s">
        <v>152</v>
      </c>
      <c r="G13" s="76"/>
      <c r="H13" s="141">
        <f t="shared" si="3"/>
        <v>0</v>
      </c>
      <c r="I13" s="142">
        <f t="shared" si="4"/>
        <v>0</v>
      </c>
      <c r="J13" s="55" t="str">
        <f t="shared" si="5"/>
        <v/>
      </c>
      <c r="K13" s="56"/>
      <c r="L13" s="60" t="s">
        <v>190</v>
      </c>
      <c r="M13" s="58"/>
      <c r="N13" s="141">
        <f t="shared" si="6"/>
        <v>0</v>
      </c>
      <c r="O13" s="142">
        <f t="shared" si="7"/>
        <v>0</v>
      </c>
      <c r="P13" s="55" t="str">
        <f t="shared" si="8"/>
        <v/>
      </c>
      <c r="Q13" s="60" t="s">
        <v>152</v>
      </c>
      <c r="R13" s="59"/>
      <c r="S13" s="141">
        <f t="shared" si="9"/>
        <v>0</v>
      </c>
      <c r="T13" s="142">
        <f t="shared" si="10"/>
        <v>0</v>
      </c>
      <c r="U13" s="55" t="str">
        <f t="shared" si="11"/>
        <v/>
      </c>
      <c r="V13" s="56"/>
      <c r="W13" s="60" t="s">
        <v>190</v>
      </c>
      <c r="X13" s="58"/>
      <c r="Y13" s="141">
        <f t="shared" si="12"/>
        <v>0</v>
      </c>
      <c r="Z13" s="142">
        <f t="shared" si="13"/>
        <v>0</v>
      </c>
      <c r="AA13" s="55" t="str">
        <f t="shared" si="14"/>
        <v/>
      </c>
      <c r="AB13" s="60" t="s">
        <v>152</v>
      </c>
      <c r="AC13" s="59"/>
      <c r="AD13" s="141">
        <f t="shared" si="15"/>
        <v>0</v>
      </c>
      <c r="AE13" s="142">
        <f t="shared" si="16"/>
        <v>0</v>
      </c>
      <c r="AF13" s="55" t="str">
        <f t="shared" si="17"/>
        <v/>
      </c>
      <c r="AG13" s="56"/>
    </row>
    <row r="14" spans="1:33" ht="15.9" customHeight="1" thickTop="1" thickBot="1">
      <c r="A14" s="60" t="s">
        <v>155</v>
      </c>
      <c r="B14" s="58"/>
      <c r="C14" s="141">
        <f t="shared" si="0"/>
        <v>0</v>
      </c>
      <c r="D14" s="142">
        <f t="shared" si="1"/>
        <v>0</v>
      </c>
      <c r="E14" s="55" t="str">
        <f t="shared" si="2"/>
        <v/>
      </c>
      <c r="F14" s="60" t="s">
        <v>152</v>
      </c>
      <c r="G14" s="76"/>
      <c r="H14" s="141">
        <f t="shared" si="3"/>
        <v>0</v>
      </c>
      <c r="I14" s="142">
        <f t="shared" si="4"/>
        <v>0</v>
      </c>
      <c r="J14" s="55" t="str">
        <f t="shared" si="5"/>
        <v/>
      </c>
      <c r="K14" s="56"/>
      <c r="L14" s="60" t="s">
        <v>155</v>
      </c>
      <c r="M14" s="58"/>
      <c r="N14" s="141">
        <f t="shared" si="6"/>
        <v>0</v>
      </c>
      <c r="O14" s="142">
        <f t="shared" si="7"/>
        <v>0</v>
      </c>
      <c r="P14" s="55" t="str">
        <f t="shared" si="8"/>
        <v/>
      </c>
      <c r="Q14" s="60" t="s">
        <v>152</v>
      </c>
      <c r="R14" s="59"/>
      <c r="S14" s="141">
        <f t="shared" si="9"/>
        <v>0</v>
      </c>
      <c r="T14" s="142">
        <f t="shared" si="10"/>
        <v>0</v>
      </c>
      <c r="U14" s="55" t="str">
        <f t="shared" si="11"/>
        <v/>
      </c>
      <c r="V14" s="56"/>
      <c r="W14" s="60" t="s">
        <v>155</v>
      </c>
      <c r="X14" s="58"/>
      <c r="Y14" s="141">
        <f t="shared" si="12"/>
        <v>0</v>
      </c>
      <c r="Z14" s="142">
        <f t="shared" si="13"/>
        <v>0</v>
      </c>
      <c r="AA14" s="55" t="str">
        <f t="shared" si="14"/>
        <v/>
      </c>
      <c r="AB14" s="60" t="s">
        <v>152</v>
      </c>
      <c r="AC14" s="59"/>
      <c r="AD14" s="141">
        <f t="shared" si="15"/>
        <v>0</v>
      </c>
      <c r="AE14" s="142">
        <f t="shared" si="16"/>
        <v>0</v>
      </c>
      <c r="AF14" s="55" t="str">
        <f t="shared" si="17"/>
        <v/>
      </c>
      <c r="AG14" s="56"/>
    </row>
    <row r="15" spans="1:33" ht="15.9" customHeight="1" thickTop="1" thickBot="1">
      <c r="A15" s="57" t="s">
        <v>155</v>
      </c>
      <c r="B15" s="58"/>
      <c r="C15" s="141">
        <f t="shared" si="0"/>
        <v>0</v>
      </c>
      <c r="D15" s="142">
        <f t="shared" si="1"/>
        <v>0</v>
      </c>
      <c r="E15" s="55" t="str">
        <f t="shared" si="2"/>
        <v/>
      </c>
      <c r="F15" s="57" t="s">
        <v>154</v>
      </c>
      <c r="G15" s="76"/>
      <c r="H15" s="141">
        <f t="shared" si="3"/>
        <v>0</v>
      </c>
      <c r="I15" s="142">
        <f t="shared" si="4"/>
        <v>0</v>
      </c>
      <c r="J15" s="55" t="str">
        <f t="shared" si="5"/>
        <v/>
      </c>
      <c r="K15" s="56"/>
      <c r="L15" s="57" t="s">
        <v>155</v>
      </c>
      <c r="M15" s="58"/>
      <c r="N15" s="141">
        <f t="shared" si="6"/>
        <v>0</v>
      </c>
      <c r="O15" s="142">
        <f t="shared" si="7"/>
        <v>0</v>
      </c>
      <c r="P15" s="55" t="str">
        <f t="shared" si="8"/>
        <v/>
      </c>
      <c r="Q15" s="57" t="s">
        <v>154</v>
      </c>
      <c r="R15" s="59"/>
      <c r="S15" s="141">
        <f t="shared" si="9"/>
        <v>0</v>
      </c>
      <c r="T15" s="142">
        <f t="shared" si="10"/>
        <v>0</v>
      </c>
      <c r="U15" s="55" t="str">
        <f t="shared" si="11"/>
        <v/>
      </c>
      <c r="V15" s="56"/>
      <c r="W15" s="57" t="s">
        <v>155</v>
      </c>
      <c r="X15" s="58"/>
      <c r="Y15" s="141">
        <f t="shared" si="12"/>
        <v>0</v>
      </c>
      <c r="Z15" s="142">
        <f t="shared" si="13"/>
        <v>0</v>
      </c>
      <c r="AA15" s="55" t="str">
        <f t="shared" si="14"/>
        <v/>
      </c>
      <c r="AB15" s="57" t="s">
        <v>154</v>
      </c>
      <c r="AC15" s="59"/>
      <c r="AD15" s="141">
        <f t="shared" si="15"/>
        <v>0</v>
      </c>
      <c r="AE15" s="142">
        <f t="shared" si="16"/>
        <v>0</v>
      </c>
      <c r="AF15" s="55" t="str">
        <f t="shared" si="17"/>
        <v/>
      </c>
      <c r="AG15" s="56"/>
    </row>
    <row r="16" spans="1:33" ht="15.9" customHeight="1" thickTop="1" thickBot="1">
      <c r="A16" s="60" t="s">
        <v>166</v>
      </c>
      <c r="B16" s="58"/>
      <c r="C16" s="141">
        <f t="shared" si="0"/>
        <v>0</v>
      </c>
      <c r="D16" s="142">
        <f t="shared" si="1"/>
        <v>0</v>
      </c>
      <c r="E16" s="55" t="str">
        <f t="shared" si="2"/>
        <v/>
      </c>
      <c r="F16" s="60" t="s">
        <v>166</v>
      </c>
      <c r="G16" s="76"/>
      <c r="H16" s="141">
        <f t="shared" si="3"/>
        <v>0</v>
      </c>
      <c r="I16" s="142">
        <f t="shared" si="4"/>
        <v>0</v>
      </c>
      <c r="J16" s="55" t="str">
        <f t="shared" si="5"/>
        <v/>
      </c>
      <c r="K16" s="56"/>
      <c r="L16" s="60" t="s">
        <v>166</v>
      </c>
      <c r="M16" s="58"/>
      <c r="N16" s="141">
        <f t="shared" si="6"/>
        <v>0</v>
      </c>
      <c r="O16" s="142">
        <f t="shared" si="7"/>
        <v>0</v>
      </c>
      <c r="P16" s="55" t="str">
        <f t="shared" si="8"/>
        <v/>
      </c>
      <c r="Q16" s="60" t="s">
        <v>166</v>
      </c>
      <c r="R16" s="59"/>
      <c r="S16" s="141">
        <f t="shared" si="9"/>
        <v>0</v>
      </c>
      <c r="T16" s="142">
        <f t="shared" si="10"/>
        <v>0</v>
      </c>
      <c r="U16" s="55" t="str">
        <f t="shared" si="11"/>
        <v/>
      </c>
      <c r="V16" s="56"/>
      <c r="W16" s="60" t="s">
        <v>166</v>
      </c>
      <c r="X16" s="58"/>
      <c r="Y16" s="141">
        <f t="shared" si="12"/>
        <v>0</v>
      </c>
      <c r="Z16" s="142">
        <f t="shared" si="13"/>
        <v>0</v>
      </c>
      <c r="AA16" s="55" t="str">
        <f t="shared" si="14"/>
        <v/>
      </c>
      <c r="AB16" s="60" t="s">
        <v>166</v>
      </c>
      <c r="AC16" s="59"/>
      <c r="AD16" s="141">
        <f t="shared" si="15"/>
        <v>0</v>
      </c>
      <c r="AE16" s="142">
        <f t="shared" si="16"/>
        <v>0</v>
      </c>
      <c r="AF16" s="55" t="str">
        <f t="shared" si="17"/>
        <v/>
      </c>
      <c r="AG16" s="56"/>
    </row>
    <row r="17" spans="1:33" ht="15.9" customHeight="1" thickTop="1" thickBot="1">
      <c r="A17" s="57" t="s">
        <v>154</v>
      </c>
      <c r="B17" s="58"/>
      <c r="C17" s="141">
        <f t="shared" si="0"/>
        <v>0</v>
      </c>
      <c r="D17" s="142">
        <f t="shared" si="1"/>
        <v>0</v>
      </c>
      <c r="E17" s="55" t="str">
        <f t="shared" si="2"/>
        <v/>
      </c>
      <c r="F17" s="57" t="s">
        <v>154</v>
      </c>
      <c r="G17" s="76"/>
      <c r="H17" s="141">
        <f t="shared" si="3"/>
        <v>0</v>
      </c>
      <c r="I17" s="142">
        <f t="shared" si="4"/>
        <v>0</v>
      </c>
      <c r="J17" s="55" t="str">
        <f t="shared" si="5"/>
        <v/>
      </c>
      <c r="K17" s="56"/>
      <c r="L17" s="57" t="s">
        <v>154</v>
      </c>
      <c r="M17" s="58"/>
      <c r="N17" s="141">
        <f t="shared" si="6"/>
        <v>0</v>
      </c>
      <c r="O17" s="142">
        <f t="shared" si="7"/>
        <v>0</v>
      </c>
      <c r="P17" s="55" t="str">
        <f t="shared" si="8"/>
        <v/>
      </c>
      <c r="Q17" s="57" t="s">
        <v>154</v>
      </c>
      <c r="R17" s="59"/>
      <c r="S17" s="141">
        <f t="shared" si="9"/>
        <v>0</v>
      </c>
      <c r="T17" s="142">
        <f t="shared" si="10"/>
        <v>0</v>
      </c>
      <c r="U17" s="55" t="str">
        <f t="shared" si="11"/>
        <v/>
      </c>
      <c r="V17" s="56"/>
      <c r="W17" s="57" t="s">
        <v>154</v>
      </c>
      <c r="X17" s="58"/>
      <c r="Y17" s="141">
        <f t="shared" si="12"/>
        <v>0</v>
      </c>
      <c r="Z17" s="142">
        <f t="shared" si="13"/>
        <v>0</v>
      </c>
      <c r="AA17" s="55" t="str">
        <f t="shared" si="14"/>
        <v/>
      </c>
      <c r="AB17" s="57" t="s">
        <v>154</v>
      </c>
      <c r="AC17" s="59"/>
      <c r="AD17" s="141">
        <f t="shared" si="15"/>
        <v>0</v>
      </c>
      <c r="AE17" s="142">
        <f t="shared" si="16"/>
        <v>0</v>
      </c>
      <c r="AF17" s="55" t="str">
        <f t="shared" si="17"/>
        <v/>
      </c>
      <c r="AG17" s="56"/>
    </row>
    <row r="18" spans="1:33" ht="15.9" customHeight="1" thickTop="1" thickBot="1">
      <c r="A18" s="57" t="s">
        <v>154</v>
      </c>
      <c r="B18" s="58"/>
      <c r="C18" s="141">
        <f t="shared" si="0"/>
        <v>0</v>
      </c>
      <c r="D18" s="142">
        <f t="shared" si="1"/>
        <v>0</v>
      </c>
      <c r="E18" s="55" t="str">
        <f t="shared" si="2"/>
        <v/>
      </c>
      <c r="F18" s="57" t="s">
        <v>154</v>
      </c>
      <c r="G18" s="76"/>
      <c r="H18" s="141">
        <f t="shared" si="3"/>
        <v>0</v>
      </c>
      <c r="I18" s="142">
        <f t="shared" si="4"/>
        <v>0</v>
      </c>
      <c r="J18" s="55" t="str">
        <f t="shared" si="5"/>
        <v/>
      </c>
      <c r="K18" s="56"/>
      <c r="L18" s="57" t="s">
        <v>154</v>
      </c>
      <c r="M18" s="58"/>
      <c r="N18" s="141">
        <f t="shared" si="6"/>
        <v>0</v>
      </c>
      <c r="O18" s="142">
        <f t="shared" si="7"/>
        <v>0</v>
      </c>
      <c r="P18" s="55" t="str">
        <f t="shared" si="8"/>
        <v/>
      </c>
      <c r="Q18" s="57" t="s">
        <v>154</v>
      </c>
      <c r="R18" s="59"/>
      <c r="S18" s="141">
        <f t="shared" si="9"/>
        <v>0</v>
      </c>
      <c r="T18" s="142">
        <f t="shared" si="10"/>
        <v>0</v>
      </c>
      <c r="U18" s="55" t="str">
        <f t="shared" si="11"/>
        <v/>
      </c>
      <c r="V18" s="56"/>
      <c r="W18" s="57" t="s">
        <v>154</v>
      </c>
      <c r="X18" s="58"/>
      <c r="Y18" s="141">
        <f t="shared" si="12"/>
        <v>0</v>
      </c>
      <c r="Z18" s="142">
        <f t="shared" si="13"/>
        <v>0</v>
      </c>
      <c r="AA18" s="55" t="str">
        <f t="shared" si="14"/>
        <v/>
      </c>
      <c r="AB18" s="57" t="s">
        <v>154</v>
      </c>
      <c r="AC18" s="59"/>
      <c r="AD18" s="141">
        <f t="shared" si="15"/>
        <v>0</v>
      </c>
      <c r="AE18" s="142">
        <f t="shared" si="16"/>
        <v>0</v>
      </c>
      <c r="AF18" s="55" t="str">
        <f t="shared" si="17"/>
        <v/>
      </c>
      <c r="AG18" s="56"/>
    </row>
    <row r="19" spans="1:33" ht="15.9" customHeight="1" thickTop="1" thickBot="1">
      <c r="A19" s="57" t="s">
        <v>154</v>
      </c>
      <c r="B19" s="58"/>
      <c r="C19" s="141">
        <f t="shared" si="0"/>
        <v>0</v>
      </c>
      <c r="D19" s="142">
        <f t="shared" si="1"/>
        <v>0</v>
      </c>
      <c r="E19" s="55" t="str">
        <f t="shared" si="2"/>
        <v/>
      </c>
      <c r="F19" s="57" t="s">
        <v>154</v>
      </c>
      <c r="G19" s="76"/>
      <c r="H19" s="141">
        <f t="shared" si="3"/>
        <v>0</v>
      </c>
      <c r="I19" s="142">
        <f t="shared" si="4"/>
        <v>0</v>
      </c>
      <c r="J19" s="55" t="str">
        <f t="shared" si="5"/>
        <v/>
      </c>
      <c r="K19" s="56"/>
      <c r="L19" s="57" t="s">
        <v>154</v>
      </c>
      <c r="M19" s="58"/>
      <c r="N19" s="141">
        <f t="shared" si="6"/>
        <v>0</v>
      </c>
      <c r="O19" s="142">
        <f t="shared" si="7"/>
        <v>0</v>
      </c>
      <c r="P19" s="55" t="str">
        <f t="shared" si="8"/>
        <v/>
      </c>
      <c r="Q19" s="57" t="s">
        <v>154</v>
      </c>
      <c r="R19" s="59"/>
      <c r="S19" s="141">
        <f t="shared" si="9"/>
        <v>0</v>
      </c>
      <c r="T19" s="142">
        <f t="shared" si="10"/>
        <v>0</v>
      </c>
      <c r="U19" s="55" t="str">
        <f t="shared" si="11"/>
        <v/>
      </c>
      <c r="V19" s="56"/>
      <c r="W19" s="57" t="s">
        <v>154</v>
      </c>
      <c r="X19" s="58"/>
      <c r="Y19" s="141">
        <f t="shared" si="12"/>
        <v>0</v>
      </c>
      <c r="Z19" s="142">
        <f t="shared" si="13"/>
        <v>0</v>
      </c>
      <c r="AA19" s="55" t="str">
        <f t="shared" si="14"/>
        <v/>
      </c>
      <c r="AB19" s="57" t="s">
        <v>154</v>
      </c>
      <c r="AC19" s="59"/>
      <c r="AD19" s="141">
        <f t="shared" si="15"/>
        <v>0</v>
      </c>
      <c r="AE19" s="142">
        <f t="shared" si="16"/>
        <v>0</v>
      </c>
      <c r="AF19" s="55" t="str">
        <f t="shared" si="17"/>
        <v/>
      </c>
      <c r="AG19" s="56"/>
    </row>
    <row r="20" spans="1:33" ht="15.9" customHeight="1" thickTop="1" thickBot="1">
      <c r="A20" s="61" t="s">
        <v>160</v>
      </c>
      <c r="B20" s="62">
        <f>SUM(B4:B19)</f>
        <v>0</v>
      </c>
      <c r="C20" s="63">
        <f>SUM(C4:C19)</f>
        <v>0</v>
      </c>
      <c r="D20" s="64">
        <f>SUM(D4:D19)</f>
        <v>0</v>
      </c>
      <c r="E20" s="64">
        <f>SUM(E4:E19)</f>
        <v>0</v>
      </c>
      <c r="F20" s="61" t="s">
        <v>160</v>
      </c>
      <c r="G20" s="65">
        <f>SUM(G4:G19)</f>
        <v>0</v>
      </c>
      <c r="H20" s="63">
        <f>SUM(H4:H19)</f>
        <v>0</v>
      </c>
      <c r="I20" s="64">
        <f>SUM(I4:I19)</f>
        <v>0</v>
      </c>
      <c r="J20" s="64">
        <f>SUM(J4:J19)</f>
        <v>0</v>
      </c>
      <c r="K20" s="66"/>
      <c r="L20" s="61" t="s">
        <v>160</v>
      </c>
      <c r="M20" s="62">
        <f>SUM(M4:M19)</f>
        <v>0</v>
      </c>
      <c r="N20" s="63">
        <f>SUM(N4:N19)</f>
        <v>0</v>
      </c>
      <c r="O20" s="64">
        <f>SUM(O4:O19)</f>
        <v>0</v>
      </c>
      <c r="P20" s="64">
        <f>SUM(P4:P19)</f>
        <v>0</v>
      </c>
      <c r="Q20" s="61" t="s">
        <v>160</v>
      </c>
      <c r="R20" s="65">
        <f>SUM(R4:R19)</f>
        <v>0</v>
      </c>
      <c r="S20" s="63">
        <f>SUM(S4:S19)</f>
        <v>0</v>
      </c>
      <c r="T20" s="64">
        <f>SUM(T4:T19)</f>
        <v>0</v>
      </c>
      <c r="U20" s="64">
        <f>SUM(U4:U19)</f>
        <v>0</v>
      </c>
      <c r="V20" s="66"/>
      <c r="W20" s="61" t="s">
        <v>160</v>
      </c>
      <c r="X20" s="62">
        <f>SUM(X4:X19)</f>
        <v>0</v>
      </c>
      <c r="Y20" s="63">
        <f>SUM(Y4:Y19)</f>
        <v>0</v>
      </c>
      <c r="Z20" s="64">
        <f>SUM(Z4:Z19)</f>
        <v>0</v>
      </c>
      <c r="AA20" s="64">
        <f>SUM(AA4:AA19)</f>
        <v>0</v>
      </c>
      <c r="AB20" s="61" t="s">
        <v>160</v>
      </c>
      <c r="AC20" s="65">
        <f>SUM(AC4:AC19)</f>
        <v>0</v>
      </c>
      <c r="AD20" s="63">
        <f>SUM(AD4:AD19)</f>
        <v>0</v>
      </c>
      <c r="AE20" s="64">
        <f>SUM(AE4:AE19)</f>
        <v>0</v>
      </c>
      <c r="AF20" s="64">
        <f>SUM(AF4:AF19)</f>
        <v>0</v>
      </c>
      <c r="AG20" s="66"/>
    </row>
    <row r="21" spans="1:33" ht="42.75" customHeight="1" thickTop="1" thickBot="1">
      <c r="A21" s="109" t="s">
        <v>233</v>
      </c>
      <c r="B21" s="143" t="s">
        <v>235</v>
      </c>
      <c r="C21" s="110" t="s">
        <v>240</v>
      </c>
      <c r="D21" s="110"/>
      <c r="E21" s="119"/>
      <c r="F21" s="109" t="s">
        <v>237</v>
      </c>
      <c r="G21" s="134" t="s">
        <v>200</v>
      </c>
      <c r="H21" s="110" t="s">
        <v>201</v>
      </c>
      <c r="I21" s="110"/>
      <c r="J21" s="120" t="s">
        <v>204</v>
      </c>
      <c r="K21" s="115" t="s">
        <v>207</v>
      </c>
      <c r="L21" s="109" t="s">
        <v>234</v>
      </c>
      <c r="M21" s="143" t="s">
        <v>255</v>
      </c>
      <c r="N21" s="110" t="s">
        <v>238</v>
      </c>
      <c r="O21" s="110"/>
      <c r="P21" s="119"/>
      <c r="Q21" s="109" t="s">
        <v>239</v>
      </c>
      <c r="R21" s="111" t="s">
        <v>214</v>
      </c>
      <c r="S21" s="110" t="s">
        <v>225</v>
      </c>
      <c r="T21" s="115" t="s">
        <v>209</v>
      </c>
      <c r="U21" s="115" t="s">
        <v>195</v>
      </c>
      <c r="V21" s="115" t="s">
        <v>208</v>
      </c>
      <c r="W21" s="109" t="s">
        <v>360</v>
      </c>
      <c r="X21" s="143" t="s">
        <v>361</v>
      </c>
      <c r="Y21" s="110" t="s">
        <v>363</v>
      </c>
      <c r="Z21" s="172" t="s">
        <v>364</v>
      </c>
      <c r="AA21" s="235" t="s">
        <v>365</v>
      </c>
      <c r="AB21" s="109" t="s">
        <v>315</v>
      </c>
      <c r="AC21" s="111" t="s">
        <v>314</v>
      </c>
      <c r="AD21" s="110" t="s">
        <v>342</v>
      </c>
      <c r="AE21" s="115" t="s">
        <v>208</v>
      </c>
      <c r="AF21" s="115" t="s">
        <v>366</v>
      </c>
    </row>
    <row r="22" spans="1:33" ht="15.9" customHeight="1" thickTop="1" thickBot="1">
      <c r="A22" s="67">
        <f>B20/7.5</f>
        <v>0</v>
      </c>
      <c r="B22" s="58">
        <f>(ROUNDUP(A22,0))</f>
        <v>0</v>
      </c>
      <c r="C22" s="123">
        <f>ROUNDUP(B20*7.5,0)</f>
        <v>0</v>
      </c>
      <c r="D22" s="124"/>
      <c r="E22" s="125"/>
      <c r="F22" s="68">
        <f>G20/3.75</f>
        <v>0</v>
      </c>
      <c r="G22" s="76">
        <f>(ROUNDUP(F22,0))</f>
        <v>0</v>
      </c>
      <c r="H22" s="67">
        <f>B20+G20</f>
        <v>0</v>
      </c>
      <c r="I22" s="126"/>
      <c r="J22" s="107">
        <f>E20+J20</f>
        <v>0</v>
      </c>
      <c r="K22" s="122">
        <f>IF(OR(E20&gt;0,J20&gt;0),1,0)</f>
        <v>0</v>
      </c>
      <c r="L22" s="71">
        <f>M20/7.5</f>
        <v>0</v>
      </c>
      <c r="M22" s="58">
        <f>(ROUNDUP(L22,0))</f>
        <v>0</v>
      </c>
      <c r="N22" s="127">
        <f>ROUNDUP(M20*7.5,0)</f>
        <v>0</v>
      </c>
      <c r="O22" s="124"/>
      <c r="P22" s="125"/>
      <c r="Q22" s="67">
        <f>R20/3.75</f>
        <v>0</v>
      </c>
      <c r="R22" s="59">
        <f>(ROUNDUP(Q22,0))</f>
        <v>0</v>
      </c>
      <c r="S22" s="67">
        <f>M20+R20</f>
        <v>0</v>
      </c>
      <c r="T22" s="107">
        <f>IF(OR(J22&gt;0,U22&gt;0),1,0)</f>
        <v>0</v>
      </c>
      <c r="U22" s="107">
        <f>P20+U20</f>
        <v>0</v>
      </c>
      <c r="V22" s="107">
        <f>IF(OR(P20&gt;0,U20&gt;0),1,0)</f>
        <v>0</v>
      </c>
      <c r="W22" s="71">
        <f>X20/7.5</f>
        <v>0</v>
      </c>
      <c r="X22" s="58">
        <f>(ROUNDUP(W22,0))</f>
        <v>0</v>
      </c>
      <c r="Y22" s="127">
        <f>ROUNDUP(X20*7.5,0)</f>
        <v>0</v>
      </c>
      <c r="Z22" s="234">
        <f>D20+O20+Z20</f>
        <v>0</v>
      </c>
      <c r="AA22" s="236">
        <f>I20+T20+AE20</f>
        <v>0</v>
      </c>
      <c r="AB22" s="67">
        <f>AC20/3.75</f>
        <v>0</v>
      </c>
      <c r="AC22" s="59">
        <f>(ROUNDUP(AB22,0))</f>
        <v>0</v>
      </c>
      <c r="AD22" s="67">
        <f>X20+AC20</f>
        <v>0</v>
      </c>
      <c r="AE22" s="107">
        <f>IF(OR(AA20&gt;0,AF20&gt;0),1,0)</f>
        <v>0</v>
      </c>
      <c r="AF22" s="107">
        <f>AA20+AF20</f>
        <v>0</v>
      </c>
    </row>
    <row r="23" spans="1:33" ht="52.2" thickTop="1" thickBot="1">
      <c r="A23" s="237" t="s">
        <v>362</v>
      </c>
      <c r="B23" s="204" t="s">
        <v>317</v>
      </c>
      <c r="C23" s="115" t="s">
        <v>236</v>
      </c>
      <c r="D23" s="171" t="s">
        <v>370</v>
      </c>
      <c r="E23" s="131" t="s">
        <v>369</v>
      </c>
      <c r="F23" s="131" t="s">
        <v>213</v>
      </c>
      <c r="G23" s="115" t="s">
        <v>372</v>
      </c>
      <c r="H23" s="115" t="s">
        <v>210</v>
      </c>
      <c r="I23" s="116" t="s">
        <v>323</v>
      </c>
      <c r="J23" s="113" t="s">
        <v>205</v>
      </c>
      <c r="K23" s="116"/>
      <c r="L23" s="116" t="s">
        <v>367</v>
      </c>
      <c r="M23" s="172" t="s">
        <v>371</v>
      </c>
      <c r="N23" s="167" t="s">
        <v>230</v>
      </c>
      <c r="O23" s="118" t="s">
        <v>241</v>
      </c>
      <c r="P23" s="118" t="s">
        <v>242</v>
      </c>
      <c r="Q23" s="118" t="s">
        <v>244</v>
      </c>
      <c r="R23" s="118" t="s">
        <v>243</v>
      </c>
      <c r="S23" s="115" t="s">
        <v>211</v>
      </c>
      <c r="T23" s="256"/>
      <c r="U23" s="113" t="s">
        <v>194</v>
      </c>
      <c r="V23" s="116"/>
      <c r="W23" s="116" t="s">
        <v>192</v>
      </c>
      <c r="X23" s="258"/>
      <c r="Y23" s="167" t="s">
        <v>230</v>
      </c>
      <c r="Z23" s="118" t="s">
        <v>241</v>
      </c>
      <c r="AA23" s="118" t="s">
        <v>242</v>
      </c>
      <c r="AB23" s="118" t="s">
        <v>244</v>
      </c>
      <c r="AC23" s="118" t="s">
        <v>243</v>
      </c>
      <c r="AD23" s="115" t="s">
        <v>211</v>
      </c>
      <c r="AE23" s="115" t="s">
        <v>191</v>
      </c>
      <c r="AF23" s="113" t="s">
        <v>194</v>
      </c>
      <c r="AG23" s="232"/>
    </row>
    <row r="24" spans="1:33" ht="17.25" customHeight="1" thickTop="1" thickBot="1">
      <c r="A24" s="128">
        <f>B20+M20+X20</f>
        <v>0</v>
      </c>
      <c r="B24" s="128">
        <f>G20+R20+AC20</f>
        <v>0</v>
      </c>
      <c r="C24" s="133">
        <f>(ROUNDUP((C20+N20)/120,0)*120)</f>
        <v>0</v>
      </c>
      <c r="D24" s="133">
        <f>(ROUNDUP((H20+S20+AD20)/100,0)*100)</f>
        <v>0</v>
      </c>
      <c r="E24" s="132">
        <f>ROUNDUP(A24/7.5,0)</f>
        <v>0</v>
      </c>
      <c r="F24" s="132">
        <f>ROUNDUP(B24/3.75,0)</f>
        <v>0</v>
      </c>
      <c r="G24" s="107">
        <f>(ROUNDUP(B24*1.2/25,0))</f>
        <v>0</v>
      </c>
      <c r="H24" s="107">
        <f>D20+I20</f>
        <v>0</v>
      </c>
      <c r="I24" s="139">
        <f>J24+U24+AF24</f>
        <v>0</v>
      </c>
      <c r="J24" s="140">
        <f>D20+I20</f>
        <v>0</v>
      </c>
      <c r="K24" s="129"/>
      <c r="L24" s="208">
        <f>H22+S22+AD22</f>
        <v>0</v>
      </c>
      <c r="M24" s="173">
        <f>C22+N22+Y22</f>
        <v>0</v>
      </c>
      <c r="N24" s="173">
        <f>ROUNDUP(B24/110,0)</f>
        <v>0</v>
      </c>
      <c r="O24" s="129">
        <f>(ROUNDUP(8.3*B20/100,0)*100)</f>
        <v>0</v>
      </c>
      <c r="P24" s="130">
        <f>(ROUNDUP(8.3*M20/100,0)*100)</f>
        <v>0</v>
      </c>
      <c r="Q24" s="130">
        <f>(ROUNDUP(8.3*G20/100,0)*100)</f>
        <v>0</v>
      </c>
      <c r="R24" s="129">
        <f>(ROUNDUP(8.3*R20/100,0)*100)</f>
        <v>0</v>
      </c>
      <c r="S24" s="107">
        <f>O20+T20</f>
        <v>0</v>
      </c>
      <c r="T24" s="257"/>
      <c r="U24" s="140">
        <f>O20+T20</f>
        <v>0</v>
      </c>
      <c r="V24" s="129"/>
      <c r="W24" s="128">
        <f>S22+AD22</f>
        <v>0</v>
      </c>
      <c r="X24" s="259"/>
      <c r="Y24" s="173">
        <f>ROUNDUP(M24/110,0)</f>
        <v>0</v>
      </c>
      <c r="Z24" s="129">
        <f>(ROUNDUP(8.3*M20/100,0)*100)</f>
        <v>0</v>
      </c>
      <c r="AA24" s="130">
        <f>(ROUNDUP(8.3*X20/100,0)*100)</f>
        <v>0</v>
      </c>
      <c r="AB24" s="130">
        <f>(ROUNDUP(8.3*R20/100,0)*100)</f>
        <v>0</v>
      </c>
      <c r="AC24" s="129">
        <f>(ROUNDUP(8.3*AC20/100,0)*100)</f>
        <v>0</v>
      </c>
      <c r="AD24" s="107">
        <f>Z20+AE20</f>
        <v>0</v>
      </c>
      <c r="AE24" s="107">
        <f>AA20+AF20</f>
        <v>0</v>
      </c>
      <c r="AF24" s="140">
        <f>Z20+AE20</f>
        <v>0</v>
      </c>
      <c r="AG24" s="233"/>
    </row>
    <row r="25" spans="1:33" ht="15" thickTop="1">
      <c r="C25" s="5"/>
    </row>
    <row r="26" spans="1:33" ht="33.75" customHeight="1">
      <c r="E26" t="s">
        <v>184</v>
      </c>
    </row>
    <row r="28" spans="1:33" ht="33.75" customHeight="1"/>
    <row r="189" spans="12:23">
      <c r="L189" t="s">
        <v>171</v>
      </c>
      <c r="W189" t="s">
        <v>171</v>
      </c>
    </row>
  </sheetData>
  <mergeCells count="9">
    <mergeCell ref="W1:AF1"/>
    <mergeCell ref="W2:AA2"/>
    <mergeCell ref="AB2:AF2"/>
    <mergeCell ref="A1:J1"/>
    <mergeCell ref="L1:U1"/>
    <mergeCell ref="A2:E2"/>
    <mergeCell ref="F2:J2"/>
    <mergeCell ref="L2:P2"/>
    <mergeCell ref="Q2:U2"/>
  </mergeCells>
  <conditionalFormatting sqref="J24">
    <cfRule type="cellIs" dxfId="11" priority="3" operator="greaterThan">
      <formula>15</formula>
    </cfRule>
    <cfRule type="cellIs" priority="4" operator="greaterThan">
      <formula>15</formula>
    </cfRule>
  </conditionalFormatting>
  <conditionalFormatting sqref="U24">
    <cfRule type="cellIs" dxfId="10" priority="2" operator="greaterThan">
      <formula>15</formula>
    </cfRule>
  </conditionalFormatting>
  <conditionalFormatting sqref="AF24">
    <cfRule type="cellIs" dxfId="9" priority="1" operator="greaterThan">
      <formula>15</formula>
    </cfRule>
  </conditionalFormatting>
  <pageMargins left="0.70866141732283505" right="0.23622047244094499" top="1.14173228346457" bottom="1.1599999999999999" header="0.196850393700787" footer="0.15748031496063"/>
  <pageSetup paperSize="9" scale="83" orientation="portrait" r:id="rId1"/>
  <headerFooter scaleWithDoc="0" alignWithMargins="0">
    <oddHeader>&amp;L&amp;G&amp;R&amp;G</oddHeader>
    <oddFooter xml:space="preserve">&amp;L
RO33404978
J40/8589/2014
RO56INGB0000999915150915
ING BANK NV&amp;CStr. Învingătorilor nr. 27, Sector 3, București
Tel :  (+4) 0314.361.836
Mobil:  (+4) 0724.204.888
             (+4) 0766.367.287&amp;REmail: 
comercial@magnumheating.ro
</oddFooter>
  </headerFooter>
  <colBreaks count="1" manualBreakCount="1">
    <brk id="3" max="1048575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60169B-9352-426E-8DCA-2F0F3405DEC1}">
  <sheetPr>
    <tabColor rgb="FF66FF33"/>
  </sheetPr>
  <dimension ref="A1:Z150"/>
  <sheetViews>
    <sheetView zoomScaleNormal="100" zoomScaleSheetLayoutView="100" workbookViewId="0">
      <selection activeCell="L15" sqref="L15"/>
    </sheetView>
  </sheetViews>
  <sheetFormatPr defaultRowHeight="14.4"/>
  <cols>
    <col min="1" max="1" width="4.6640625" customWidth="1"/>
    <col min="2" max="2" width="10.109375" customWidth="1"/>
    <col min="3" max="3" width="63" customWidth="1"/>
    <col min="4" max="5" width="5.88671875" customWidth="1"/>
    <col min="6" max="6" width="11" customWidth="1"/>
    <col min="7" max="7" width="11.44140625" customWidth="1"/>
    <col min="8" max="8" width="9.109375" style="239"/>
    <col min="9" max="9" width="8.88671875" customWidth="1"/>
    <col min="10" max="10" width="14" customWidth="1"/>
    <col min="15" max="15" width="10.5546875" customWidth="1"/>
    <col min="16" max="16" width="13.5546875" customWidth="1"/>
    <col min="17" max="17" width="16.109375" customWidth="1"/>
    <col min="18" max="18" width="8.5546875" customWidth="1"/>
    <col min="20" max="20" width="7.109375" customWidth="1"/>
    <col min="21" max="21" width="11.44140625" customWidth="1"/>
    <col min="22" max="22" width="13.5546875" customWidth="1"/>
    <col min="23" max="23" width="15.6640625" customWidth="1"/>
    <col min="24" max="24" width="14.109375" customWidth="1"/>
    <col min="25" max="25" width="14.88671875" customWidth="1"/>
  </cols>
  <sheetData>
    <row r="1" spans="1:17">
      <c r="A1" s="529" t="s">
        <v>597</v>
      </c>
      <c r="B1" s="530"/>
      <c r="C1" s="530"/>
    </row>
    <row r="2" spans="1:17">
      <c r="A2" s="1"/>
    </row>
    <row r="3" spans="1:17">
      <c r="A3" s="529" t="s">
        <v>168</v>
      </c>
      <c r="B3" s="530"/>
      <c r="C3" s="530"/>
    </row>
    <row r="4" spans="1:17">
      <c r="A4" s="529" t="s">
        <v>431</v>
      </c>
      <c r="B4" s="530"/>
      <c r="C4" s="530"/>
    </row>
    <row r="5" spans="1:17">
      <c r="A5" s="529" t="s">
        <v>91</v>
      </c>
      <c r="B5" s="530"/>
      <c r="C5" s="530"/>
    </row>
    <row r="6" spans="1:17">
      <c r="A6" s="529" t="s">
        <v>82</v>
      </c>
      <c r="B6" s="530"/>
      <c r="C6" s="530"/>
    </row>
    <row r="7" spans="1:17">
      <c r="A7" s="529" t="s">
        <v>305</v>
      </c>
      <c r="B7" s="530"/>
      <c r="C7" s="530"/>
    </row>
    <row r="9" spans="1:17" ht="18.75" customHeight="1">
      <c r="A9" s="545" t="s">
        <v>0</v>
      </c>
      <c r="B9" s="545"/>
      <c r="C9" s="545"/>
      <c r="D9" s="545"/>
      <c r="E9" s="545"/>
      <c r="F9" s="545"/>
      <c r="G9" s="545"/>
      <c r="H9" s="240"/>
      <c r="I9" s="4"/>
      <c r="J9" s="5"/>
      <c r="K9" s="5"/>
      <c r="L9" s="5"/>
      <c r="M9" s="5"/>
      <c r="N9" s="5"/>
      <c r="O9" s="5"/>
      <c r="P9" s="5"/>
      <c r="Q9" s="5"/>
    </row>
    <row r="10" spans="1:17" ht="21.75" customHeight="1">
      <c r="A10" s="524" t="s">
        <v>215</v>
      </c>
      <c r="B10" s="524"/>
      <c r="C10" s="524"/>
      <c r="D10" s="524"/>
      <c r="E10" s="524"/>
      <c r="F10" s="524"/>
      <c r="G10" s="524"/>
      <c r="H10" s="240"/>
      <c r="I10" s="4"/>
      <c r="J10" s="5"/>
      <c r="K10" s="5"/>
      <c r="L10" s="5"/>
      <c r="M10" s="5"/>
      <c r="N10" s="5"/>
      <c r="O10" s="5"/>
      <c r="P10" s="5"/>
      <c r="Q10" s="5"/>
    </row>
    <row r="11" spans="1:17" ht="18" customHeight="1">
      <c r="A11" s="524" t="s">
        <v>290</v>
      </c>
      <c r="B11" s="528"/>
      <c r="C11" s="528"/>
      <c r="D11" s="148">
        <f>'Calcul Folie+Placa Tacker'!A24</f>
        <v>0</v>
      </c>
      <c r="E11" s="154" t="s">
        <v>92</v>
      </c>
      <c r="F11" s="4"/>
      <c r="G11" s="4"/>
      <c r="H11" s="240"/>
      <c r="I11" s="4"/>
      <c r="J11" s="5"/>
      <c r="K11" s="5"/>
      <c r="L11" s="5"/>
      <c r="M11" s="5"/>
      <c r="N11" s="5"/>
      <c r="O11" s="5"/>
      <c r="P11" s="5"/>
      <c r="Q11" s="5"/>
    </row>
    <row r="12" spans="1:17" ht="27.9" customHeight="1">
      <c r="A12" s="4"/>
      <c r="B12" s="4"/>
      <c r="C12" s="4"/>
      <c r="D12" s="4"/>
      <c r="E12" s="4"/>
      <c r="F12" s="4"/>
      <c r="G12" s="4"/>
      <c r="H12" s="240"/>
      <c r="I12" s="4"/>
      <c r="J12" s="5"/>
      <c r="K12" s="5"/>
      <c r="L12" s="5"/>
      <c r="M12" s="5"/>
      <c r="N12" s="5"/>
      <c r="O12" s="5"/>
      <c r="P12" s="5"/>
      <c r="Q12" s="5"/>
    </row>
    <row r="13" spans="1:17" ht="27.9" customHeight="1">
      <c r="A13" s="4"/>
      <c r="B13" s="4"/>
      <c r="C13" s="4"/>
      <c r="D13" s="4"/>
      <c r="E13" s="4"/>
      <c r="F13" s="4"/>
      <c r="G13" s="4"/>
      <c r="H13" s="240"/>
      <c r="I13" s="4"/>
      <c r="J13" s="5"/>
      <c r="K13" s="5"/>
      <c r="L13" s="5"/>
      <c r="M13" s="5"/>
      <c r="N13" s="5"/>
      <c r="O13" s="5"/>
      <c r="P13" s="5"/>
      <c r="Q13" s="5"/>
    </row>
    <row r="14" spans="1:17">
      <c r="A14" s="4"/>
      <c r="B14" s="4"/>
      <c r="C14" s="4"/>
      <c r="D14" s="4"/>
      <c r="E14" s="4"/>
      <c r="F14" s="4"/>
      <c r="G14" s="4"/>
      <c r="H14" s="240"/>
      <c r="I14" s="4"/>
      <c r="J14" s="5"/>
      <c r="K14" s="5"/>
      <c r="L14" s="5"/>
      <c r="M14" s="5"/>
      <c r="N14" s="5"/>
      <c r="O14" s="5"/>
      <c r="P14" s="5"/>
      <c r="Q14" s="5"/>
    </row>
    <row r="15" spans="1:17" ht="32.25" customHeight="1">
      <c r="A15" s="4"/>
      <c r="B15" s="4"/>
      <c r="C15" s="4"/>
      <c r="D15" s="4"/>
      <c r="E15" s="4"/>
      <c r="F15" s="4"/>
      <c r="G15" s="4"/>
      <c r="H15" s="240"/>
      <c r="I15" s="4"/>
      <c r="J15" s="5"/>
      <c r="K15" s="5"/>
      <c r="L15" s="5"/>
      <c r="M15" s="5"/>
      <c r="N15" s="5"/>
      <c r="O15" s="5"/>
      <c r="P15" s="5"/>
      <c r="Q15" s="5"/>
    </row>
    <row r="16" spans="1:17" ht="32.25" customHeight="1">
      <c r="A16" s="4"/>
      <c r="B16" s="4"/>
      <c r="C16" s="4"/>
      <c r="D16" s="4"/>
      <c r="E16" s="4"/>
      <c r="F16" s="4"/>
      <c r="G16" s="4"/>
      <c r="H16" s="240"/>
      <c r="I16" s="4"/>
      <c r="J16" s="5"/>
      <c r="K16" s="5"/>
      <c r="L16" s="5"/>
      <c r="M16" s="5"/>
      <c r="N16" s="5"/>
      <c r="O16" s="5"/>
      <c r="P16" s="5"/>
      <c r="Q16" s="5"/>
    </row>
    <row r="17" spans="1:17" ht="21" customHeight="1">
      <c r="A17" s="4"/>
      <c r="B17" s="4"/>
      <c r="C17" s="4"/>
      <c r="D17" s="4"/>
      <c r="E17" s="4"/>
      <c r="F17" s="4"/>
      <c r="G17" s="4"/>
      <c r="H17" s="240"/>
      <c r="I17" s="4"/>
      <c r="J17" s="5"/>
      <c r="K17" s="5"/>
      <c r="L17" s="5"/>
      <c r="M17" s="5"/>
      <c r="N17" s="5"/>
      <c r="O17" s="5"/>
      <c r="P17" s="5"/>
      <c r="Q17" s="5"/>
    </row>
    <row r="18" spans="1:17" ht="21.75" customHeight="1" thickBot="1">
      <c r="A18" s="525" t="s">
        <v>140</v>
      </c>
      <c r="B18" s="525"/>
      <c r="C18" s="525"/>
      <c r="D18" s="525"/>
      <c r="E18" s="525"/>
      <c r="F18" s="525"/>
      <c r="G18" s="525"/>
      <c r="H18" s="241"/>
      <c r="I18" s="5"/>
      <c r="J18" s="5"/>
      <c r="K18" s="5"/>
      <c r="L18" s="5"/>
      <c r="M18" s="5"/>
      <c r="N18" s="5"/>
      <c r="O18" s="5"/>
      <c r="P18" s="5"/>
      <c r="Q18" s="5"/>
    </row>
    <row r="19" spans="1:17" ht="18.75" customHeight="1" thickTop="1">
      <c r="A19" s="6" t="s">
        <v>1</v>
      </c>
      <c r="B19" s="518" t="s">
        <v>3</v>
      </c>
      <c r="C19" s="518" t="s">
        <v>4</v>
      </c>
      <c r="D19" s="518" t="s">
        <v>5</v>
      </c>
      <c r="E19" s="518" t="s">
        <v>6</v>
      </c>
      <c r="F19" s="7" t="s">
        <v>7</v>
      </c>
      <c r="G19" s="8" t="s">
        <v>9</v>
      </c>
      <c r="H19" s="241"/>
      <c r="I19" s="5"/>
      <c r="J19" s="5"/>
      <c r="K19" s="5"/>
      <c r="L19" s="5"/>
      <c r="M19" s="5"/>
      <c r="N19" s="5"/>
      <c r="O19" s="5"/>
      <c r="P19" s="5"/>
      <c r="Q19" s="5"/>
    </row>
    <row r="20" spans="1:17" ht="26.25" customHeight="1" thickBot="1">
      <c r="A20" s="17" t="s">
        <v>2</v>
      </c>
      <c r="B20" s="527"/>
      <c r="C20" s="527"/>
      <c r="D20" s="527"/>
      <c r="E20" s="527"/>
      <c r="F20" s="18" t="s">
        <v>8</v>
      </c>
      <c r="G20" s="19" t="s">
        <v>8</v>
      </c>
      <c r="H20" s="247"/>
      <c r="I20" s="5"/>
      <c r="J20" s="5"/>
      <c r="K20" s="5"/>
      <c r="L20" s="5"/>
      <c r="M20" s="5"/>
      <c r="N20" s="5"/>
      <c r="O20" s="5"/>
      <c r="P20" s="5"/>
      <c r="Q20" s="5"/>
    </row>
    <row r="21" spans="1:17" ht="20.100000000000001" customHeight="1" thickTop="1" thickBot="1">
      <c r="A21" s="564" t="s">
        <v>293</v>
      </c>
      <c r="B21" s="578"/>
      <c r="C21" s="578"/>
      <c r="D21" s="146">
        <f>'Calcul Folie+Placa Tacker'!A24</f>
        <v>0</v>
      </c>
      <c r="E21" s="75"/>
      <c r="F21" s="75"/>
      <c r="G21" s="39"/>
      <c r="H21" s="248">
        <f>SUM(H22:H29)</f>
        <v>0</v>
      </c>
      <c r="I21" s="5"/>
      <c r="J21" s="5"/>
      <c r="K21" s="5"/>
      <c r="L21" s="5"/>
      <c r="M21" s="5"/>
      <c r="N21" s="5"/>
      <c r="O21" s="5"/>
      <c r="P21" s="5"/>
      <c r="Q21" s="5"/>
    </row>
    <row r="22" spans="1:17" ht="27.9" customHeight="1" thickTop="1" thickBot="1">
      <c r="A22" s="12"/>
      <c r="B22" s="2" t="s">
        <v>60</v>
      </c>
      <c r="C22" s="13" t="s">
        <v>164</v>
      </c>
      <c r="D22" s="2" t="s">
        <v>14</v>
      </c>
      <c r="E22" s="293">
        <f>'Calcul Folie+Placa Tacker'!F24</f>
        <v>0</v>
      </c>
      <c r="F22" s="285">
        <v>42</v>
      </c>
      <c r="G22" s="33">
        <f t="shared" ref="G22:G29" si="0">E22*F22</f>
        <v>0</v>
      </c>
      <c r="H22" s="248">
        <f t="shared" ref="H22:H29" si="1">E22</f>
        <v>0</v>
      </c>
      <c r="I22" s="5"/>
      <c r="J22" s="5"/>
      <c r="K22" s="5"/>
      <c r="L22" s="5"/>
      <c r="M22" s="5"/>
      <c r="N22" s="5"/>
      <c r="O22" s="5"/>
      <c r="P22" s="5"/>
      <c r="Q22" s="5"/>
    </row>
    <row r="23" spans="1:17" ht="27.9" customHeight="1" thickBot="1">
      <c r="A23" s="12"/>
      <c r="B23" s="2" t="s">
        <v>15</v>
      </c>
      <c r="C23" s="13" t="s">
        <v>81</v>
      </c>
      <c r="D23" s="2" t="s">
        <v>14</v>
      </c>
      <c r="E23" s="28"/>
      <c r="F23" s="286">
        <v>50</v>
      </c>
      <c r="G23" s="33">
        <f t="shared" si="0"/>
        <v>0</v>
      </c>
      <c r="H23" s="248">
        <f t="shared" si="1"/>
        <v>0</v>
      </c>
      <c r="I23" s="5"/>
      <c r="J23" s="5"/>
      <c r="K23" s="5"/>
      <c r="L23" s="5"/>
      <c r="M23" s="5"/>
      <c r="N23" s="5"/>
      <c r="O23" s="5"/>
      <c r="P23" s="5"/>
      <c r="Q23" s="5"/>
    </row>
    <row r="24" spans="1:17" ht="27.9" customHeight="1" thickBot="1">
      <c r="A24" s="12"/>
      <c r="B24" s="2" t="s">
        <v>101</v>
      </c>
      <c r="C24" s="13" t="s">
        <v>102</v>
      </c>
      <c r="D24" s="2" t="s">
        <v>14</v>
      </c>
      <c r="E24" s="28"/>
      <c r="F24" s="286">
        <v>119</v>
      </c>
      <c r="G24" s="33">
        <f t="shared" si="0"/>
        <v>0</v>
      </c>
      <c r="H24" s="248">
        <f t="shared" si="1"/>
        <v>0</v>
      </c>
      <c r="I24" s="5"/>
      <c r="J24" s="5"/>
      <c r="K24" s="5"/>
      <c r="L24" s="5"/>
      <c r="M24" s="5"/>
      <c r="N24" s="5"/>
      <c r="O24" s="5"/>
      <c r="P24" s="5"/>
      <c r="Q24" s="5"/>
    </row>
    <row r="25" spans="1:17" ht="18.75" customHeight="1" thickBot="1">
      <c r="A25" s="12"/>
      <c r="B25" s="2" t="s">
        <v>103</v>
      </c>
      <c r="C25" s="13" t="s">
        <v>104</v>
      </c>
      <c r="D25" s="2" t="s">
        <v>92</v>
      </c>
      <c r="E25" s="28"/>
      <c r="F25" s="286">
        <v>5</v>
      </c>
      <c r="G25" s="33">
        <f t="shared" si="0"/>
        <v>0</v>
      </c>
      <c r="H25" s="248">
        <f t="shared" si="1"/>
        <v>0</v>
      </c>
      <c r="I25" s="5"/>
      <c r="J25" s="5"/>
      <c r="K25" s="5"/>
      <c r="L25" s="5"/>
      <c r="M25" s="5"/>
      <c r="N25" s="5"/>
      <c r="O25" s="5"/>
      <c r="P25" s="5"/>
      <c r="Q25" s="5"/>
    </row>
    <row r="26" spans="1:17" ht="27.9" customHeight="1" thickBot="1">
      <c r="A26" s="12"/>
      <c r="B26" s="2" t="s">
        <v>105</v>
      </c>
      <c r="C26" s="13" t="s">
        <v>106</v>
      </c>
      <c r="D26" s="2" t="s">
        <v>13</v>
      </c>
      <c r="E26" s="28"/>
      <c r="F26" s="286">
        <v>10.5</v>
      </c>
      <c r="G26" s="33">
        <f t="shared" si="0"/>
        <v>0</v>
      </c>
      <c r="H26" s="248">
        <f t="shared" si="1"/>
        <v>0</v>
      </c>
      <c r="I26" s="5"/>
      <c r="J26" s="5"/>
      <c r="K26" s="5"/>
      <c r="L26" s="5"/>
      <c r="M26" s="5"/>
      <c r="N26" s="5"/>
      <c r="O26" s="5"/>
      <c r="P26" s="5"/>
      <c r="Q26" s="5"/>
    </row>
    <row r="27" spans="1:17" ht="18" customHeight="1" thickBot="1">
      <c r="A27" s="12"/>
      <c r="B27" s="2" t="s">
        <v>76</v>
      </c>
      <c r="C27" s="13" t="s">
        <v>308</v>
      </c>
      <c r="D27" s="2" t="s">
        <v>13</v>
      </c>
      <c r="E27" s="293">
        <f>'Calcul Folie+Placa Tacker'!E24</f>
        <v>0</v>
      </c>
      <c r="F27" s="286">
        <v>7</v>
      </c>
      <c r="G27" s="33">
        <f t="shared" si="0"/>
        <v>0</v>
      </c>
      <c r="H27" s="248">
        <f t="shared" si="1"/>
        <v>0</v>
      </c>
      <c r="I27" s="5"/>
      <c r="J27" s="5"/>
      <c r="K27" s="5"/>
      <c r="L27" s="5"/>
      <c r="M27" s="5"/>
      <c r="N27" s="5"/>
      <c r="O27" s="5"/>
      <c r="P27" s="5"/>
      <c r="Q27" s="5"/>
    </row>
    <row r="28" spans="1:17" ht="18" customHeight="1" thickBot="1">
      <c r="A28" s="12"/>
      <c r="B28" s="2" t="s">
        <v>113</v>
      </c>
      <c r="C28" s="13" t="s">
        <v>114</v>
      </c>
      <c r="D28" s="2" t="s">
        <v>11</v>
      </c>
      <c r="E28" s="28"/>
      <c r="F28" s="286">
        <v>158</v>
      </c>
      <c r="G28" s="33">
        <f t="shared" si="0"/>
        <v>0</v>
      </c>
      <c r="H28" s="248">
        <f t="shared" si="1"/>
        <v>0</v>
      </c>
      <c r="I28" s="5"/>
      <c r="J28" s="5"/>
      <c r="K28" s="5"/>
      <c r="L28" s="5"/>
      <c r="M28" s="5"/>
      <c r="N28" s="5"/>
      <c r="O28" s="5"/>
      <c r="P28" s="5"/>
      <c r="Q28" s="5"/>
    </row>
    <row r="29" spans="1:17" ht="18" customHeight="1" thickBot="1">
      <c r="A29" s="35"/>
      <c r="B29" s="36" t="s">
        <v>112</v>
      </c>
      <c r="C29" s="37" t="s">
        <v>165</v>
      </c>
      <c r="D29" s="36" t="s">
        <v>11</v>
      </c>
      <c r="E29" s="294"/>
      <c r="F29" s="303">
        <v>158</v>
      </c>
      <c r="G29" s="38">
        <f t="shared" si="0"/>
        <v>0</v>
      </c>
      <c r="H29" s="248">
        <f t="shared" si="1"/>
        <v>0</v>
      </c>
      <c r="I29" s="5"/>
      <c r="J29" s="5"/>
      <c r="K29" s="5"/>
      <c r="L29" s="5"/>
      <c r="M29" s="5"/>
      <c r="N29" s="5"/>
      <c r="O29" s="5"/>
      <c r="P29" s="5"/>
      <c r="Q29" s="5"/>
    </row>
    <row r="30" spans="1:17" ht="20.100000000000001" customHeight="1" thickTop="1" thickBot="1">
      <c r="A30" s="564" t="s">
        <v>16</v>
      </c>
      <c r="B30" s="565"/>
      <c r="C30" s="565"/>
      <c r="D30" s="565"/>
      <c r="E30" s="565"/>
      <c r="F30" s="565"/>
      <c r="G30" s="39"/>
      <c r="H30" s="248">
        <f>SUM(H31:H62)</f>
        <v>0</v>
      </c>
      <c r="I30" s="5"/>
      <c r="J30" s="5"/>
      <c r="K30" s="5"/>
      <c r="L30" s="5"/>
      <c r="M30" s="5" t="s">
        <v>85</v>
      </c>
      <c r="N30" s="5"/>
      <c r="O30" s="5"/>
      <c r="P30" s="5"/>
      <c r="Q30" s="5"/>
    </row>
    <row r="31" spans="1:17" ht="18" customHeight="1" thickTop="1" thickBot="1">
      <c r="A31" s="12"/>
      <c r="B31" s="2" t="s">
        <v>78</v>
      </c>
      <c r="C31" s="13" t="s">
        <v>77</v>
      </c>
      <c r="D31" s="2" t="s">
        <v>13</v>
      </c>
      <c r="E31" s="28">
        <f>'Calcul Folie+Placa Tacker'!I24</f>
        <v>0</v>
      </c>
      <c r="F31" s="285">
        <v>2</v>
      </c>
      <c r="G31" s="33">
        <f t="shared" ref="G31:G62" si="2">E31*F31</f>
        <v>0</v>
      </c>
      <c r="H31" s="248">
        <f t="shared" ref="H31:H62" si="3">E31</f>
        <v>0</v>
      </c>
      <c r="I31" s="5"/>
      <c r="J31" s="5"/>
      <c r="K31" s="5"/>
      <c r="L31" s="5"/>
      <c r="M31" s="5"/>
      <c r="N31" s="5"/>
      <c r="O31" s="5"/>
      <c r="P31" s="5"/>
      <c r="Q31" s="5"/>
    </row>
    <row r="32" spans="1:17" ht="18" customHeight="1" thickBot="1">
      <c r="A32" s="12"/>
      <c r="B32" s="2" t="s">
        <v>109</v>
      </c>
      <c r="C32" s="13" t="s">
        <v>110</v>
      </c>
      <c r="D32" s="3" t="s">
        <v>14</v>
      </c>
      <c r="E32" s="28">
        <f>'Calcul Folie+Placa Tacker'!G24</f>
        <v>0</v>
      </c>
      <c r="F32" s="286">
        <v>11</v>
      </c>
      <c r="G32" s="33">
        <f t="shared" si="2"/>
        <v>0</v>
      </c>
      <c r="H32" s="248">
        <f t="shared" si="3"/>
        <v>0</v>
      </c>
      <c r="I32" s="5"/>
      <c r="J32" s="5"/>
      <c r="K32" s="5"/>
      <c r="L32" s="5"/>
      <c r="M32" s="5"/>
      <c r="N32" s="5"/>
      <c r="O32" s="5"/>
      <c r="P32" s="5"/>
      <c r="Q32" s="5"/>
    </row>
    <row r="33" spans="1:17" ht="18" customHeight="1" thickBot="1">
      <c r="A33" s="12"/>
      <c r="B33" s="2" t="s">
        <v>108</v>
      </c>
      <c r="C33" s="13" t="s">
        <v>116</v>
      </c>
      <c r="D33" s="3" t="s">
        <v>11</v>
      </c>
      <c r="E33" s="28"/>
      <c r="F33" s="286">
        <v>4.7300000000000004</v>
      </c>
      <c r="G33" s="33">
        <f t="shared" si="2"/>
        <v>0</v>
      </c>
      <c r="H33" s="248">
        <f t="shared" si="3"/>
        <v>0</v>
      </c>
      <c r="I33" s="5"/>
      <c r="J33" s="5"/>
      <c r="K33" s="5"/>
      <c r="L33" s="5"/>
      <c r="M33" s="5"/>
      <c r="N33" s="5"/>
      <c r="O33" s="5"/>
      <c r="P33" s="5"/>
      <c r="Q33" s="5"/>
    </row>
    <row r="34" spans="1:17" ht="18" customHeight="1" thickBot="1">
      <c r="A34" s="12"/>
      <c r="B34" s="2" t="s">
        <v>111</v>
      </c>
      <c r="C34" s="13" t="s">
        <v>161</v>
      </c>
      <c r="D34" s="3" t="s">
        <v>11</v>
      </c>
      <c r="E34" s="28"/>
      <c r="F34" s="286">
        <v>165</v>
      </c>
      <c r="G34" s="33">
        <f t="shared" si="2"/>
        <v>0</v>
      </c>
      <c r="H34" s="248">
        <f t="shared" si="3"/>
        <v>0</v>
      </c>
      <c r="I34" s="5"/>
      <c r="J34" s="5"/>
      <c r="K34" s="5"/>
      <c r="L34" s="5"/>
      <c r="M34" s="5"/>
      <c r="N34" s="5"/>
      <c r="O34" s="5"/>
      <c r="P34" s="5"/>
      <c r="Q34" s="5"/>
    </row>
    <row r="35" spans="1:17" ht="18" customHeight="1" thickBot="1">
      <c r="A35" s="12"/>
      <c r="B35" s="29" t="s">
        <v>115</v>
      </c>
      <c r="C35" s="31" t="s">
        <v>117</v>
      </c>
      <c r="D35" s="30" t="s">
        <v>11</v>
      </c>
      <c r="E35" s="311">
        <f>'Calcul Folie+Placa Tacker'!F22</f>
        <v>0</v>
      </c>
      <c r="F35" s="286">
        <v>21</v>
      </c>
      <c r="G35" s="33">
        <f t="shared" si="2"/>
        <v>0</v>
      </c>
      <c r="H35" s="248">
        <f t="shared" si="3"/>
        <v>0</v>
      </c>
      <c r="I35" s="5"/>
      <c r="J35" s="5"/>
      <c r="K35" s="5"/>
      <c r="L35" s="5"/>
      <c r="M35" s="5"/>
      <c r="N35" s="5"/>
      <c r="O35" s="5"/>
      <c r="P35" s="5"/>
      <c r="Q35" s="5"/>
    </row>
    <row r="36" spans="1:17" ht="18" customHeight="1" thickBot="1">
      <c r="A36" s="12"/>
      <c r="B36" s="2" t="s">
        <v>231</v>
      </c>
      <c r="C36" s="13" t="s">
        <v>232</v>
      </c>
      <c r="D36" s="28" t="s">
        <v>14</v>
      </c>
      <c r="E36" s="296">
        <f>IF('Calcul Folie+Placa Tacker'!C24-'Sistem Folie Tacker'!E39*600-'Sistem Folie Tacker'!E38*240-'Sistem Folie Tacker'!E37*120&gt;=100, INT(('Sistem Folie Tacker'!C24-'Sistem Folie Tacker'!E39*600-'Sistem Folie Tacker'!E38*240-'Sistem Folie Tacker'!E37*120)/100),0)</f>
        <v>0</v>
      </c>
      <c r="F36" s="286">
        <v>53</v>
      </c>
      <c r="G36" s="33">
        <f t="shared" si="2"/>
        <v>0</v>
      </c>
      <c r="H36" s="248">
        <f t="shared" si="3"/>
        <v>0</v>
      </c>
      <c r="I36" s="5"/>
      <c r="J36" s="5"/>
      <c r="K36" s="5"/>
      <c r="L36" s="5"/>
      <c r="M36" s="5"/>
      <c r="N36" s="5"/>
      <c r="O36" s="5"/>
      <c r="P36" s="5"/>
      <c r="Q36" s="5"/>
    </row>
    <row r="37" spans="1:17" ht="18" customHeight="1" thickBot="1">
      <c r="A37" s="12"/>
      <c r="B37" s="2" t="s">
        <v>69</v>
      </c>
      <c r="C37" s="13" t="s">
        <v>72</v>
      </c>
      <c r="D37" s="28" t="s">
        <v>14</v>
      </c>
      <c r="E37" s="296">
        <f>IF('Calcul Folie+Placa Tacker'!C24- 'Sistem Folie Tacker'!E39*600- 'Sistem Folie Tacker'!E38*240&gt;=120, INT(('Calcul Folie+Placa Tacker'!C24- 'Sistem Folie Tacker'!E39*600-'Sistem Folie Tacker'!E38*240)/120),0)</f>
        <v>0</v>
      </c>
      <c r="F37" s="286">
        <v>71</v>
      </c>
      <c r="G37" s="33">
        <f t="shared" si="2"/>
        <v>0</v>
      </c>
      <c r="H37" s="248">
        <f t="shared" si="3"/>
        <v>0</v>
      </c>
      <c r="I37" s="5"/>
      <c r="J37" s="5"/>
      <c r="K37" s="5"/>
      <c r="L37" s="5"/>
      <c r="M37" s="5"/>
      <c r="N37" s="5"/>
      <c r="O37" s="5"/>
      <c r="P37" s="5"/>
      <c r="Q37" s="5"/>
    </row>
    <row r="38" spans="1:17" ht="18" customHeight="1" thickBot="1">
      <c r="A38" s="12"/>
      <c r="B38" s="2" t="s">
        <v>70</v>
      </c>
      <c r="C38" s="13" t="s">
        <v>73</v>
      </c>
      <c r="D38" s="28" t="s">
        <v>14</v>
      </c>
      <c r="E38" s="296">
        <f>IF('Calcul Folie+Placa Tacker'!C24-'Sistem Folie Tacker'!E39*600&gt;=240, INT(('Calcul Folie+Placa Tacker'!C24-'Sistem Folie Tacker'!E39*600)/240),0)</f>
        <v>0</v>
      </c>
      <c r="F38" s="286">
        <v>142</v>
      </c>
      <c r="G38" s="33">
        <f t="shared" si="2"/>
        <v>0</v>
      </c>
      <c r="H38" s="248">
        <f t="shared" si="3"/>
        <v>0</v>
      </c>
      <c r="I38" s="5"/>
      <c r="J38" s="5"/>
      <c r="K38" s="5"/>
      <c r="L38" s="5"/>
      <c r="M38" s="5"/>
      <c r="N38" s="5"/>
      <c r="O38" s="5"/>
      <c r="P38" s="5"/>
      <c r="Q38" s="5"/>
    </row>
    <row r="39" spans="1:17" ht="18" customHeight="1" thickBot="1">
      <c r="A39" s="12"/>
      <c r="B39" s="2" t="s">
        <v>71</v>
      </c>
      <c r="C39" s="13" t="s">
        <v>74</v>
      </c>
      <c r="D39" s="20" t="s">
        <v>14</v>
      </c>
      <c r="E39" s="296">
        <f>IF('Calcul Folie+Placa Tacker'!C24&gt;=600, INT('Calcul Folie+Placa Tacker'!C24/600),0)</f>
        <v>0</v>
      </c>
      <c r="F39" s="286">
        <v>354</v>
      </c>
      <c r="G39" s="33">
        <f t="shared" si="2"/>
        <v>0</v>
      </c>
      <c r="H39" s="248">
        <f t="shared" si="3"/>
        <v>0</v>
      </c>
      <c r="I39" s="5"/>
      <c r="J39" s="5"/>
      <c r="K39" s="5"/>
      <c r="L39" s="5"/>
      <c r="M39" s="5"/>
      <c r="N39" s="5"/>
      <c r="O39" s="5"/>
      <c r="P39" s="5"/>
      <c r="Q39" s="5"/>
    </row>
    <row r="40" spans="1:17" ht="50.1" customHeight="1" thickBot="1">
      <c r="A40" s="12"/>
      <c r="B40" s="2" t="s">
        <v>35</v>
      </c>
      <c r="C40" s="13" t="s">
        <v>118</v>
      </c>
      <c r="D40" s="2" t="s">
        <v>11</v>
      </c>
      <c r="E40" s="28">
        <f>IF(AND('Calcul Folie+Placa Tacker'!$J$24=2, 'Calcul Folie+Placa Tacker'!$U$24=2, 'Calcul Folie+Placa Tacker'!$AF$24=2), 3,
IF(OR(AND('Calcul Folie+Placa Tacker'!$J$24=2, 'Calcul Folie+Placa Tacker'!$U$24=2),
      AND('Calcul Folie+Placa Tacker'!$J$24=2, 'Calcul Folie+Placa Tacker'!$AF$24=2),
      AND('Calcul Folie+Placa Tacker'!$U$24=2, 'Calcul Folie+Placa Tacker'!$AF$24=2)), 2,
IF(OR('Calcul Folie+Placa Tacker'!$J$24=2, 'Calcul Folie+Placa Tacker'!$U$24=2, 'Calcul Folie+Placa Tacker'!$AF$24=2), 1, 0)))</f>
        <v>0</v>
      </c>
      <c r="F40" s="286">
        <v>104</v>
      </c>
      <c r="G40" s="33">
        <f t="shared" si="2"/>
        <v>0</v>
      </c>
      <c r="H40" s="248">
        <f t="shared" si="3"/>
        <v>0</v>
      </c>
      <c r="I40" s="5"/>
      <c r="J40" s="5"/>
      <c r="K40" s="5"/>
      <c r="L40" s="5"/>
      <c r="M40" s="5"/>
      <c r="N40" s="5"/>
      <c r="O40" s="5"/>
      <c r="P40" s="5"/>
      <c r="Q40" s="5"/>
    </row>
    <row r="41" spans="1:17" ht="50.1" customHeight="1" thickBot="1">
      <c r="A41" s="12"/>
      <c r="B41" s="2" t="s">
        <v>36</v>
      </c>
      <c r="C41" s="13" t="s">
        <v>119</v>
      </c>
      <c r="D41" s="2" t="s">
        <v>11</v>
      </c>
      <c r="E41" s="28">
        <f>IF(AND('Calcul Folie+Placa Tacker'!$J$24=3, 'Calcul Folie+Placa Tacker'!$U$24=3, 'Calcul Folie+Placa Tacker'!$AF$24=3), 3,
IF(OR(AND('Calcul Folie+Placa Tacker'!$J$24=3, 'Calcul Folie+Placa Tacker'!$U$24=3),
      AND('Calcul Folie+Placa Tacker'!$J$24=3, 'Calcul Folie+Placa Tacker'!$AF$24=3),
      AND('Calcul Folie+Placa Tacker'!$U$24=3, 'Calcul Folie+Placa Tacker'!$AF$24=3)), 2,
IF(OR('Calcul Folie+Placa Tacker'!$J$24=3, 'Calcul Folie+Placa Tacker'!$U$24=3, 'Calcul Folie+Placa Tacker'!$AF$24=3), 1, 0)))</f>
        <v>0</v>
      </c>
      <c r="F41" s="286">
        <v>120</v>
      </c>
      <c r="G41" s="33">
        <f t="shared" si="2"/>
        <v>0</v>
      </c>
      <c r="H41" s="248">
        <f t="shared" si="3"/>
        <v>0</v>
      </c>
      <c r="I41" s="5"/>
      <c r="J41" s="5"/>
      <c r="K41" s="5"/>
      <c r="L41" s="5"/>
      <c r="M41" s="5"/>
      <c r="N41" s="5"/>
      <c r="O41" s="5"/>
      <c r="P41" s="5"/>
      <c r="Q41" s="5"/>
    </row>
    <row r="42" spans="1:17" ht="50.1" customHeight="1" thickBot="1">
      <c r="A42" s="12"/>
      <c r="B42" s="2" t="s">
        <v>37</v>
      </c>
      <c r="C42" s="13" t="s">
        <v>120</v>
      </c>
      <c r="D42" s="2" t="s">
        <v>11</v>
      </c>
      <c r="E42" s="28">
        <f>IF(AND('Calcul Folie+Placa Tacker'!$J$24=4, 'Calcul Folie+Placa Tacker'!$U$24=4, 'Calcul Folie+Placa Tacker'!$AF$24=4), 3,
IF(OR(AND('Calcul Folie+Placa Tacker'!$J$24=4, 'Calcul Folie+Placa Tacker'!$U$24=4),
      AND('Calcul Folie+Placa Tacker'!$J$24=4, 'Calcul Folie+Placa Tacker'!$AF$24=4),
      AND('Calcul Folie+Placa Tacker'!$U$24=4, 'Calcul Folie+Placa Tacker'!$AF$24=4)), 2,
IF(OR('Calcul Folie+Placa Tacker'!$J$24=4, 'Calcul Folie+Placa Tacker'!$U$24=4, 'Calcul Folie+Placa Tacker'!$AF$24=4), 1, 0)))</f>
        <v>0</v>
      </c>
      <c r="F42" s="286">
        <v>136</v>
      </c>
      <c r="G42" s="33">
        <f t="shared" si="2"/>
        <v>0</v>
      </c>
      <c r="H42" s="248">
        <f t="shared" si="3"/>
        <v>0</v>
      </c>
      <c r="I42" s="5"/>
      <c r="J42" s="5"/>
      <c r="K42" s="5"/>
      <c r="L42" s="5"/>
      <c r="M42" s="5"/>
      <c r="N42" s="5"/>
      <c r="O42" s="5"/>
      <c r="P42" s="5"/>
      <c r="Q42" s="5"/>
    </row>
    <row r="43" spans="1:17" ht="50.1" customHeight="1" thickBot="1">
      <c r="A43" s="12"/>
      <c r="B43" s="2" t="s">
        <v>23</v>
      </c>
      <c r="C43" s="13" t="s">
        <v>121</v>
      </c>
      <c r="D43" s="2" t="s">
        <v>11</v>
      </c>
      <c r="E43" s="28">
        <f>IF(AND('Calcul Folie+Placa Tacker'!$J$24=5, 'Calcul Folie+Placa Tacker'!$U$24=5, 'Calcul Folie+Placa Tacker'!$AF$24=5), 3,
IF(OR(AND('Calcul Folie+Placa Tacker'!$J$24=5, 'Calcul Folie+Placa Tacker'!$U$24=5),
      AND('Calcul Folie+Placa Tacker'!$J$24=5, 'Calcul Folie+Placa Tacker'!$AF$24=5),
      AND('Calcul Folie+Placa Tacker'!$U$24=5, 'Calcul Folie+Placa Tacker'!$AF$24=5)), 2,
IF(OR('Calcul Folie+Placa Tacker'!$J$24=5, 'Calcul Folie+Placa Tacker'!$U$24=5, 'Calcul Folie+Placa Tacker'!$AF$24=5), 1, 0)))</f>
        <v>0</v>
      </c>
      <c r="F43" s="286">
        <v>151</v>
      </c>
      <c r="G43" s="33">
        <f t="shared" si="2"/>
        <v>0</v>
      </c>
      <c r="H43" s="248">
        <f t="shared" si="3"/>
        <v>0</v>
      </c>
      <c r="I43" s="5"/>
      <c r="J43" s="5"/>
      <c r="K43" s="5"/>
      <c r="L43" s="5"/>
      <c r="M43" s="5"/>
      <c r="N43" s="5"/>
      <c r="O43" s="5"/>
      <c r="P43" s="5"/>
      <c r="Q43" s="5"/>
    </row>
    <row r="44" spans="1:17" ht="50.1" customHeight="1" thickBot="1">
      <c r="A44" s="12"/>
      <c r="B44" s="2" t="s">
        <v>22</v>
      </c>
      <c r="C44" s="13" t="s">
        <v>303</v>
      </c>
      <c r="D44" s="2" t="s">
        <v>11</v>
      </c>
      <c r="E44" s="28">
        <f>IF(AND('Calcul Folie+Placa Tacker'!$J$24=6, 'Calcul Folie+Placa Tacker'!$U$24=6, 'Calcul Folie+Placa Tacker'!$AF$24=6), 3,
IF(OR(AND('Calcul Folie+Placa Tacker'!$J$24=6, 'Calcul Folie+Placa Tacker'!$U$24=6),
      AND('Calcul Folie+Placa Tacker'!$J$24=6, 'Calcul Folie+Placa Tacker'!$AF$24=6),
      AND('Calcul Folie+Placa Tacker'!$U$24=6, 'Calcul Folie+Placa Tacker'!$AF$24=6)), 2,
IF(OR('Calcul Folie+Placa Tacker'!$J$24=6, 'Calcul Folie+Placa Tacker'!$U$24=6, 'Calcul Folie+Placa Tacker'!$AF$24=6), 1, 0)))</f>
        <v>0</v>
      </c>
      <c r="F44" s="286">
        <v>168</v>
      </c>
      <c r="G44" s="33">
        <f t="shared" si="2"/>
        <v>0</v>
      </c>
      <c r="H44" s="248">
        <f t="shared" si="3"/>
        <v>0</v>
      </c>
      <c r="I44" s="5"/>
      <c r="J44" s="5"/>
      <c r="K44" s="5"/>
      <c r="L44" s="5"/>
      <c r="M44" s="5"/>
      <c r="N44" s="5"/>
      <c r="O44" s="5"/>
      <c r="P44" s="5"/>
      <c r="Q44" s="5"/>
    </row>
    <row r="45" spans="1:17" ht="50.1" customHeight="1" thickBot="1">
      <c r="A45" s="12"/>
      <c r="B45" s="2" t="s">
        <v>21</v>
      </c>
      <c r="C45" s="13" t="s">
        <v>304</v>
      </c>
      <c r="D45" s="2" t="s">
        <v>11</v>
      </c>
      <c r="E45" s="28">
        <f>IF(AND('Calcul Folie+Placa Tacker'!$J$24=7, 'Calcul Folie+Placa Tacker'!$U$24=7, 'Calcul Folie+Placa Tacker'!$AF$24=7), 3,
IF(OR(AND('Calcul Folie+Placa Tacker'!$J$24=7, 'Calcul Folie+Placa Tacker'!$U$24=7),
      AND('Calcul Folie+Placa Tacker'!$J$24=7, 'Calcul Folie+Placa Tacker'!$AF$24=7),
      AND('Calcul Folie+Placa Tacker'!$U$24=7, 'Calcul Folie+Placa Tacker'!$AF$24=7)), 2,
IF(OR('Calcul Folie+Placa Tacker'!$J$24=7, 'Calcul Folie+Placa Tacker'!$U$24=7, 'Calcul Folie+Placa Tacker'!$AF$24=7), 1, 0)))</f>
        <v>0</v>
      </c>
      <c r="F45" s="286">
        <v>184</v>
      </c>
      <c r="G45" s="33">
        <f t="shared" si="2"/>
        <v>0</v>
      </c>
      <c r="H45" s="248">
        <f t="shared" si="3"/>
        <v>0</v>
      </c>
      <c r="I45" s="5"/>
      <c r="J45" s="5"/>
      <c r="K45" s="5"/>
      <c r="L45" s="5"/>
      <c r="M45" s="5"/>
      <c r="N45" s="5"/>
      <c r="O45" s="5"/>
      <c r="P45" s="5"/>
      <c r="Q45" s="5"/>
    </row>
    <row r="46" spans="1:17" ht="50.1" customHeight="1" thickBot="1">
      <c r="A46" s="12"/>
      <c r="B46" s="2" t="s">
        <v>38</v>
      </c>
      <c r="C46" s="13" t="s">
        <v>167</v>
      </c>
      <c r="D46" s="2" t="s">
        <v>11</v>
      </c>
      <c r="E46" s="28">
        <f>IF(AND('Calcul Folie+Placa Tacker'!$J$24=8, 'Calcul Folie+Placa Tacker'!$U$24=8, 'Calcul Folie+Placa Tacker'!$AF$24=8), 3,
IF(OR(AND('Calcul Folie+Placa Tacker'!$J$24=8, 'Calcul Folie+Placa Tacker'!$U$24=8),
      AND('Calcul Folie+Placa Tacker'!$J$24=8, 'Calcul Folie+Placa Tacker'!$AF$24=8),
      AND('Calcul Folie+Placa Tacker'!$U$24=8, 'Calcul Folie+Placa Tacker'!$AF$24=8)), 2,
IF(OR('Calcul Folie+Placa Tacker'!$J$24=8, 'Calcul Folie+Placa Tacker'!$U$24=8, 'Calcul Folie+Placa Tacker'!$AF$24=8), 1, 0)))</f>
        <v>0</v>
      </c>
      <c r="F46" s="286">
        <v>200</v>
      </c>
      <c r="G46" s="33">
        <f t="shared" si="2"/>
        <v>0</v>
      </c>
      <c r="H46" s="248">
        <f t="shared" si="3"/>
        <v>0</v>
      </c>
      <c r="I46" s="5"/>
      <c r="J46" s="5"/>
      <c r="K46" s="5"/>
      <c r="L46" s="5"/>
      <c r="M46" s="5"/>
      <c r="N46" s="5"/>
      <c r="O46" s="5"/>
      <c r="P46" s="5"/>
      <c r="Q46" s="5"/>
    </row>
    <row r="47" spans="1:17" ht="50.1" customHeight="1" thickBot="1">
      <c r="A47" s="12"/>
      <c r="B47" s="2" t="s">
        <v>39</v>
      </c>
      <c r="C47" s="13" t="s">
        <v>173</v>
      </c>
      <c r="D47" s="2" t="s">
        <v>11</v>
      </c>
      <c r="E47" s="28">
        <f>IF(AND('Calcul Folie+Placa Tacker'!$J$24=9, 'Calcul Folie+Placa Tacker'!$U$24=9, 'Calcul Folie+Placa Tacker'!$AF$24=9), 3,
IF(OR(AND('Calcul Folie+Placa Tacker'!$J$24=9, 'Calcul Folie+Placa Tacker'!$U$24=9),
      AND('Calcul Folie+Placa Tacker'!$J$24=9, 'Calcul Folie+Placa Tacker'!$AF$24=9),
      AND('Calcul Folie+Placa Tacker'!$U$24=9, 'Calcul Folie+Placa Tacker'!$AF$24=9)), 2,
IF(OR('Calcul Folie+Placa Tacker'!$J$24=9, 'Calcul Folie+Placa Tacker'!$U$24=9, 'Calcul Folie+Placa Tacker'!$AF$24=9), 1, 0)))</f>
        <v>0</v>
      </c>
      <c r="F47" s="286">
        <v>215</v>
      </c>
      <c r="G47" s="33">
        <f t="shared" si="2"/>
        <v>0</v>
      </c>
      <c r="H47" s="248">
        <f t="shared" si="3"/>
        <v>0</v>
      </c>
      <c r="I47" s="5"/>
      <c r="J47" s="5"/>
      <c r="K47" s="5"/>
      <c r="L47" s="5"/>
      <c r="M47" s="5"/>
      <c r="N47" s="5"/>
      <c r="O47" s="5"/>
      <c r="P47" s="5"/>
      <c r="Q47" s="5"/>
    </row>
    <row r="48" spans="1:17" ht="50.1" customHeight="1" thickBot="1">
      <c r="A48" s="12"/>
      <c r="B48" s="2" t="s">
        <v>40</v>
      </c>
      <c r="C48" s="13" t="s">
        <v>122</v>
      </c>
      <c r="D48" s="2" t="s">
        <v>11</v>
      </c>
      <c r="E48" s="28">
        <f>IF(AND('Calcul Folie+Placa Tacker'!$J$24=10, 'Calcul Folie+Placa Tacker'!$U$24=10, 'Calcul Folie+Placa Tacker'!$AF$24=10), 3,
IF(OR(AND('Calcul Folie+Placa Tacker'!$J$24=10, 'Calcul Folie+Placa Tacker'!$U$24=10),
      AND('Calcul Folie+Placa Tacker'!$J$24=10, 'Calcul Folie+Placa Tacker'!$AF$24=10),
      AND('Calcul Folie+Placa Tacker'!$U$24=10, 'Calcul Folie+Placa Tacker'!$AF$24=10)), 2,
IF(OR('Calcul Folie+Placa Tacker'!$J$24=10, 'Calcul Folie+Placa Tacker'!$U$24=10, 'Calcul Folie+Placa Tacker'!$AF$24=10), 1, 0)))</f>
        <v>0</v>
      </c>
      <c r="F48" s="286">
        <v>233</v>
      </c>
      <c r="G48" s="33">
        <f t="shared" si="2"/>
        <v>0</v>
      </c>
      <c r="H48" s="248">
        <f t="shared" si="3"/>
        <v>0</v>
      </c>
      <c r="I48" s="5"/>
      <c r="J48" s="5"/>
      <c r="K48" s="5"/>
      <c r="L48" s="5"/>
      <c r="M48" s="5"/>
      <c r="N48" s="5"/>
      <c r="O48" s="5"/>
      <c r="P48" s="5"/>
      <c r="Q48" s="5"/>
    </row>
    <row r="49" spans="1:17" ht="50.1" customHeight="1" thickBot="1">
      <c r="A49" s="12"/>
      <c r="B49" s="2" t="s">
        <v>41</v>
      </c>
      <c r="C49" s="13" t="s">
        <v>123</v>
      </c>
      <c r="D49" s="2" t="s">
        <v>11</v>
      </c>
      <c r="E49" s="28">
        <f>IF(AND('Calcul Folie+Placa Tacker'!$J$24=11, 'Calcul Folie+Placa Tacker'!$U$24=11, 'Calcul Folie+Placa Tacker'!$AF$24=11), 3,
IF(OR(AND('Calcul Folie+Placa Tacker'!$J$24=11, 'Calcul Folie+Placa Tacker'!$U$24=11),
      AND('Calcul Folie+Placa Tacker'!$J$24=11, 'Calcul Folie+Placa Tacker'!$AF$24=11),
      AND('Calcul Folie+Placa Tacker'!$U$24=11, 'Calcul Folie+Placa Tacker'!$AF$24=11)), 2,
IF(OR('Calcul Folie+Placa Tacker'!$J$24=11, 'Calcul Folie+Placa Tacker'!$U$24=11, 'Calcul Folie+Placa Tacker'!$AF$24=11), 1, 0)))</f>
        <v>0</v>
      </c>
      <c r="F49" s="286">
        <v>247</v>
      </c>
      <c r="G49" s="33">
        <f t="shared" si="2"/>
        <v>0</v>
      </c>
      <c r="H49" s="248">
        <f t="shared" si="3"/>
        <v>0</v>
      </c>
      <c r="I49" s="5"/>
      <c r="J49" s="5"/>
      <c r="K49" s="5"/>
      <c r="L49" s="5"/>
      <c r="M49" s="5"/>
      <c r="N49" s="5"/>
      <c r="O49" s="5"/>
      <c r="P49" s="5"/>
      <c r="Q49" s="5"/>
    </row>
    <row r="50" spans="1:17" ht="50.1" customHeight="1" thickBot="1">
      <c r="A50" s="12"/>
      <c r="B50" s="2" t="s">
        <v>42</v>
      </c>
      <c r="C50" s="13" t="s">
        <v>124</v>
      </c>
      <c r="D50" s="2" t="s">
        <v>11</v>
      </c>
      <c r="E50" s="28">
        <f>IF(AND('Calcul Folie+Placa Tacker'!$J$24=12, 'Calcul Folie+Placa Tacker'!$U$24=12, 'Calcul Folie+Placa Tacker'!$AF$24=12), 3,
IF(OR(AND('Calcul Folie+Placa Tacker'!$J$24=12, 'Calcul Folie+Placa Tacker'!$U$24=12),
      AND('Calcul Folie+Placa Tacker'!$J$24=12, 'Calcul Folie+Placa Tacker'!$AF$24=12),
      AND('Calcul Folie+Placa Tacker'!$U$24=12, 'Calcul Folie+Placa Tacker'!$AF$24=12)), 2,
IF(OR('Calcul Folie+Placa Tacker'!$J$24=12, 'Calcul Folie+Placa Tacker'!$U$24=12, 'Calcul Folie+Placa Tacker'!$AF$24=12), 1, 0)))</f>
        <v>0</v>
      </c>
      <c r="F50" s="286">
        <v>265</v>
      </c>
      <c r="G50" s="33">
        <f t="shared" si="2"/>
        <v>0</v>
      </c>
      <c r="H50" s="248">
        <f t="shared" si="3"/>
        <v>0</v>
      </c>
      <c r="I50" s="5"/>
      <c r="J50" s="5"/>
      <c r="K50" s="5"/>
      <c r="L50" s="5"/>
      <c r="M50" s="5"/>
      <c r="N50" s="5"/>
      <c r="O50" s="5"/>
      <c r="P50" s="5"/>
      <c r="Q50" s="5"/>
    </row>
    <row r="51" spans="1:17" ht="50.1" customHeight="1" thickBot="1">
      <c r="A51" s="12"/>
      <c r="B51" s="2" t="s">
        <v>43</v>
      </c>
      <c r="C51" s="13" t="s">
        <v>125</v>
      </c>
      <c r="D51" s="2" t="s">
        <v>11</v>
      </c>
      <c r="E51" s="28">
        <f>IF(AND('Calcul Folie+Placa Tacker'!$J$24=13, 'Calcul Folie+Placa Tacker'!$U$24=13, 'Calcul Folie+Placa Tacker'!$AF$24=13), 3,
IF(OR(AND('Calcul Folie+Placa Tacker'!$J$24=13, 'Calcul Folie+Placa Tacker'!$U$24=13),
      AND('Calcul Folie+Placa Tacker'!$J$24=13, 'Calcul Folie+Placa Tacker'!$AF$24=13),
      AND('Calcul Folie+Placa Tacker'!$U$24=13, 'Calcul Folie+Placa Tacker'!$AF$24=13)), 2,
IF(OR('Calcul Folie+Placa Tacker'!$J$24=13, 'Calcul Folie+Placa Tacker'!$U$24=13, 'Calcul Folie+Placa Tacker'!$AF$24=13), 1, 0)))</f>
        <v>0</v>
      </c>
      <c r="F51" s="286">
        <v>283</v>
      </c>
      <c r="G51" s="33">
        <f t="shared" si="2"/>
        <v>0</v>
      </c>
      <c r="H51" s="248">
        <f t="shared" si="3"/>
        <v>0</v>
      </c>
      <c r="I51" s="5"/>
      <c r="J51" s="5"/>
      <c r="K51" s="5"/>
      <c r="L51" s="5"/>
      <c r="M51" s="5"/>
      <c r="N51" s="5"/>
      <c r="O51" s="5"/>
      <c r="P51" s="5"/>
      <c r="Q51" s="5"/>
    </row>
    <row r="52" spans="1:17" ht="50.1" customHeight="1" thickBot="1">
      <c r="A52" s="12"/>
      <c r="B52" s="2" t="s">
        <v>44</v>
      </c>
      <c r="C52" s="13" t="s">
        <v>126</v>
      </c>
      <c r="D52" s="2" t="s">
        <v>11</v>
      </c>
      <c r="E52" s="28">
        <f>IF(AND('Calcul Folie+Placa Tacker'!$J$24=14, 'Calcul Folie+Placa Tacker'!$U$24=14, 'Calcul Folie+Placa Tacker'!$AF$24=14), 3,
IF(OR(AND('Calcul Folie+Placa Tacker'!$J$24=14, 'Calcul Folie+Placa Tacker'!$U$24=14),
      AND('Calcul Folie+Placa Tacker'!$J$24=14, 'Calcul Folie+Placa Tacker'!$AF$24=14),
      AND('Calcul Folie+Placa Tacker'!$U$24=14, 'Calcul Folie+Placa Tacker'!$AF$24=14)), 2,
IF(OR('Calcul Folie+Placa Tacker'!$J$24=14, 'Calcul Folie+Placa Tacker'!$U$24=14, 'Calcul Folie+Placa Tacker'!$AF$24=14), 1, 0)))</f>
        <v>0</v>
      </c>
      <c r="F52" s="286">
        <v>298</v>
      </c>
      <c r="G52" s="33">
        <f t="shared" si="2"/>
        <v>0</v>
      </c>
      <c r="H52" s="248">
        <f t="shared" si="3"/>
        <v>0</v>
      </c>
      <c r="I52" s="5"/>
      <c r="J52" s="5"/>
      <c r="K52" s="5"/>
      <c r="L52" s="5"/>
      <c r="M52" s="5"/>
      <c r="N52" s="5"/>
      <c r="O52" s="5"/>
      <c r="P52" s="5"/>
      <c r="Q52" s="5"/>
    </row>
    <row r="53" spans="1:17" ht="50.1" customHeight="1" thickBot="1">
      <c r="A53" s="12"/>
      <c r="B53" s="2" t="s">
        <v>45</v>
      </c>
      <c r="C53" s="13" t="s">
        <v>127</v>
      </c>
      <c r="D53" s="2" t="s">
        <v>11</v>
      </c>
      <c r="E53" s="28">
        <f>IF(AND('Calcul Folie+Placa Tacker'!$J$24=15, 'Calcul Folie+Placa Tacker'!$U$24=15, 'Calcul Folie+Placa Tacker'!$AF$24=15), 3,
IF(OR(AND('Calcul Folie+Placa Tacker'!$J$24=15, 'Calcul Folie+Placa Tacker'!$U$24=15),
      AND('Calcul Folie+Placa Tacker'!$J$24=15, 'Calcul Folie+Placa Tacker'!$AF$24=15),
      AND('Calcul Folie+Placa Tacker'!$U$24=15, 'Calcul Folie+Placa Tacker'!$AF$24=15)), 2,
IF(OR('Calcul Folie+Placa Tacker'!$J$24=15, 'Calcul Folie+Placa Tacker'!$U$24=15, 'Calcul Folie+Placa Tacker'!$AF$24=15), 1, 0)))</f>
        <v>0</v>
      </c>
      <c r="F53" s="286">
        <v>314</v>
      </c>
      <c r="G53" s="33">
        <f t="shared" si="2"/>
        <v>0</v>
      </c>
      <c r="H53" s="248">
        <f t="shared" si="3"/>
        <v>0</v>
      </c>
      <c r="I53" s="5"/>
      <c r="J53" s="5"/>
      <c r="K53" s="5"/>
      <c r="L53" s="5"/>
      <c r="M53" s="5"/>
      <c r="N53" s="5"/>
      <c r="O53" s="5"/>
      <c r="P53" s="5"/>
      <c r="Q53" s="5"/>
    </row>
    <row r="54" spans="1:17" ht="18" customHeight="1" thickBot="1">
      <c r="A54" s="12"/>
      <c r="B54" s="327" t="s">
        <v>129</v>
      </c>
      <c r="C54" s="328" t="s">
        <v>420</v>
      </c>
      <c r="D54" s="2" t="s">
        <v>11</v>
      </c>
      <c r="E54" s="28"/>
      <c r="F54" s="286">
        <v>54</v>
      </c>
      <c r="G54" s="33">
        <f t="shared" si="2"/>
        <v>0</v>
      </c>
      <c r="H54" s="248">
        <f t="shared" si="3"/>
        <v>0</v>
      </c>
      <c r="I54" s="247"/>
      <c r="J54" s="5"/>
      <c r="K54" s="5"/>
      <c r="L54" s="5"/>
      <c r="M54" s="5"/>
      <c r="N54" s="5"/>
      <c r="O54" s="5"/>
      <c r="P54" s="5"/>
      <c r="Q54" s="5"/>
    </row>
    <row r="55" spans="1:17" ht="18" customHeight="1" thickBot="1">
      <c r="A55" s="12"/>
      <c r="B55" s="327" t="s">
        <v>418</v>
      </c>
      <c r="C55" s="328" t="s">
        <v>419</v>
      </c>
      <c r="D55" s="2" t="s">
        <v>11</v>
      </c>
      <c r="E55" s="297"/>
      <c r="F55" s="286">
        <v>58</v>
      </c>
      <c r="G55" s="33">
        <f t="shared" si="2"/>
        <v>0</v>
      </c>
      <c r="H55" s="248">
        <f t="shared" si="3"/>
        <v>0</v>
      </c>
      <c r="I55" s="247"/>
      <c r="J55" s="5"/>
      <c r="K55" s="5"/>
      <c r="L55" s="5"/>
      <c r="M55" s="5"/>
      <c r="N55" s="5"/>
      <c r="O55" s="5"/>
      <c r="P55" s="5"/>
      <c r="Q55" s="5"/>
    </row>
    <row r="56" spans="1:17" ht="18" customHeight="1" thickBot="1">
      <c r="A56" s="12"/>
      <c r="B56" s="260" t="s">
        <v>421</v>
      </c>
      <c r="C56" s="332" t="s">
        <v>422</v>
      </c>
      <c r="D56" s="2" t="s">
        <v>11</v>
      </c>
      <c r="E56" s="297">
        <f>--OR('Calcul Folie+Placa Tacker'!$J$24=2,'Calcul Folie+Placa Tacker'!$J$24=3)
 +--OR('Calcul Folie+Placa Tacker'!$U$24=2,'Calcul Folie+Placa Tacker'!$U$24=3)
 +--OR('Calcul Folie+Placa Tacker'!$AF$24=2,'Calcul Folie+Placa Tacker'!$AF$24=3)</f>
        <v>0</v>
      </c>
      <c r="F56" s="286">
        <v>76</v>
      </c>
      <c r="G56" s="33">
        <f t="shared" si="2"/>
        <v>0</v>
      </c>
      <c r="H56" s="248">
        <f t="shared" si="3"/>
        <v>0</v>
      </c>
      <c r="I56" s="247"/>
      <c r="J56" s="5"/>
      <c r="K56" s="5"/>
      <c r="L56" s="5"/>
      <c r="M56" s="5"/>
      <c r="N56" s="5"/>
      <c r="O56" s="5"/>
      <c r="P56" s="5"/>
      <c r="Q56" s="5"/>
    </row>
    <row r="57" spans="1:17" ht="18" customHeight="1" thickBot="1">
      <c r="A57" s="12"/>
      <c r="B57" s="260" t="s">
        <v>412</v>
      </c>
      <c r="C57" s="332" t="s">
        <v>423</v>
      </c>
      <c r="D57" s="2" t="s">
        <v>11</v>
      </c>
      <c r="E57" s="297" cm="1">
        <f t="array" ref="E57">--OR('Calcul Folie+Placa Tacker'!$J$24={4,5,6,7})
 +--OR('Calcul Folie+Placa Tacker'!$U$24={4,5,6,7})
 +--OR('Calcul Folie+Placa Tacker'!$AF$24={4,5,6,7})</f>
        <v>0</v>
      </c>
      <c r="F57" s="286">
        <v>82</v>
      </c>
      <c r="G57" s="33">
        <f t="shared" si="2"/>
        <v>0</v>
      </c>
      <c r="H57" s="248">
        <f t="shared" si="3"/>
        <v>0</v>
      </c>
      <c r="I57" s="247"/>
      <c r="J57" s="5"/>
      <c r="K57" s="5"/>
      <c r="L57" s="5"/>
      <c r="M57" s="5"/>
      <c r="N57" s="5"/>
      <c r="O57" s="5"/>
      <c r="P57" s="5"/>
      <c r="Q57" s="5"/>
    </row>
    <row r="58" spans="1:17" ht="18" customHeight="1" thickBot="1">
      <c r="A58" s="12"/>
      <c r="B58" s="260" t="s">
        <v>130</v>
      </c>
      <c r="C58" s="332" t="s">
        <v>424</v>
      </c>
      <c r="D58" s="2" t="s">
        <v>11</v>
      </c>
      <c r="E58" s="297" cm="1">
        <f t="array" ref="E58">--OR('Calcul Folie+Placa Tacker'!$J$24={8,9,10,11})
 +--OR('Calcul Folie+Placa Tacker'!$U$24={8,9,10,11})
 +--OR('Calcul Folie+Placa Tacker'!$AF$24={8,9,10,11})</f>
        <v>0</v>
      </c>
      <c r="F58" s="286">
        <v>96</v>
      </c>
      <c r="G58" s="33">
        <f t="shared" si="2"/>
        <v>0</v>
      </c>
      <c r="H58" s="248">
        <f t="shared" si="3"/>
        <v>0</v>
      </c>
      <c r="I58" s="247"/>
      <c r="J58" s="5"/>
      <c r="K58" s="5"/>
      <c r="L58" s="5"/>
      <c r="M58" s="5"/>
      <c r="N58" s="5"/>
      <c r="O58" s="5"/>
      <c r="P58" s="5"/>
      <c r="Q58" s="5"/>
    </row>
    <row r="59" spans="1:17" ht="18" customHeight="1" thickBot="1">
      <c r="A59" s="12"/>
      <c r="B59" s="260" t="s">
        <v>131</v>
      </c>
      <c r="C59" s="332" t="s">
        <v>425</v>
      </c>
      <c r="D59" s="2" t="s">
        <v>11</v>
      </c>
      <c r="E59" s="297" cm="1">
        <f t="array" ref="E59">--OR('Calcul Folie+Placa Tacker'!$J$24={12,13})
 +--OR('Calcul Folie+Placa Tacker'!$U$24={12,13})
 +--OR('Calcul Folie+Placa Tacker'!$AF$24={12,13})</f>
        <v>0</v>
      </c>
      <c r="F59" s="286">
        <v>102</v>
      </c>
      <c r="G59" s="33">
        <f t="shared" si="2"/>
        <v>0</v>
      </c>
      <c r="H59" s="248">
        <f t="shared" si="3"/>
        <v>0</v>
      </c>
      <c r="I59" s="247"/>
      <c r="J59" s="5"/>
      <c r="K59" s="5"/>
      <c r="L59" s="5"/>
      <c r="M59" s="5"/>
      <c r="N59" s="5"/>
      <c r="O59" s="5"/>
      <c r="P59" s="5"/>
      <c r="Q59" s="5"/>
    </row>
    <row r="60" spans="1:17" ht="18" customHeight="1" thickBot="1">
      <c r="A60" s="12"/>
      <c r="B60" s="260" t="s">
        <v>325</v>
      </c>
      <c r="C60" s="332" t="s">
        <v>426</v>
      </c>
      <c r="D60" s="2" t="s">
        <v>11</v>
      </c>
      <c r="E60" s="297" cm="1">
        <f t="array" ref="E60">--OR('Calcul Folie+Placa Tacker'!$J$24={14,15})
 +--OR('Calcul Folie+Placa Tacker'!$U$24={14,15})
 +--OR('Calcul Folie+Placa Tacker'!$AF$24={14,15})</f>
        <v>0</v>
      </c>
      <c r="F60" s="286">
        <v>120</v>
      </c>
      <c r="G60" s="33">
        <f t="shared" si="2"/>
        <v>0</v>
      </c>
      <c r="H60" s="248">
        <f t="shared" si="3"/>
        <v>0</v>
      </c>
      <c r="I60" s="247"/>
      <c r="J60" s="5"/>
      <c r="K60" s="5"/>
      <c r="L60" s="5"/>
      <c r="M60" s="5"/>
      <c r="N60" s="5"/>
      <c r="O60" s="5"/>
      <c r="P60" s="5"/>
      <c r="Q60" s="5"/>
    </row>
    <row r="61" spans="1:17" ht="18" customHeight="1" thickBot="1">
      <c r="A61" s="12"/>
      <c r="B61" s="2" t="s">
        <v>86</v>
      </c>
      <c r="C61" s="13" t="s">
        <v>139</v>
      </c>
      <c r="D61" s="2" t="s">
        <v>13</v>
      </c>
      <c r="E61" s="2">
        <f>'Calcul Folie+Placa Tacker'!I24</f>
        <v>0</v>
      </c>
      <c r="F61" s="286">
        <v>4.2</v>
      </c>
      <c r="G61" s="33">
        <f t="shared" si="2"/>
        <v>0</v>
      </c>
      <c r="H61" s="248">
        <f>E61</f>
        <v>0</v>
      </c>
      <c r="I61" s="5"/>
      <c r="J61" s="5"/>
      <c r="K61" s="5"/>
      <c r="L61" s="5"/>
      <c r="M61" s="5"/>
      <c r="N61" s="5"/>
      <c r="O61" s="5"/>
      <c r="P61" s="5"/>
      <c r="Q61" s="5"/>
    </row>
    <row r="62" spans="1:17" ht="27.9" customHeight="1" thickBot="1">
      <c r="A62" s="35"/>
      <c r="B62" s="36" t="s">
        <v>128</v>
      </c>
      <c r="C62" s="37" t="s">
        <v>427</v>
      </c>
      <c r="D62" s="36" t="s">
        <v>11</v>
      </c>
      <c r="E62" s="298">
        <f>IF(AND('Calcul Folie+Placa Tacker'!$J$24&gt;0, 'Calcul Folie+Placa Tacker'!$U$24&gt;0, 'Calcul Folie+Placa Tacker'!$AF$24&gt;0), 3,
    IF(OR(AND('Calcul Folie+Placa Tacker'!$J$24&gt;0, 'Calcul Folie+Placa Tacker'!$U$24&gt;0),
          AND('Calcul Folie+Placa Tacker'!$J$24&gt;0, 'Calcul Folie+Placa Tacker'!$AF$24&gt;0),
          AND('Calcul Folie+Placa Tacker'!$U$24&gt;0, 'Calcul Folie+Placa Tacker'!$AF$24&gt;0)), 2,
    IF(OR('Calcul Folie+Placa Tacker'!$J$24&gt;0, 'Calcul Folie+Placa Tacker'!$U$24&gt;0, 'Calcul Folie+Placa Tacker'!$AF$24&gt;0), 1, 0)))</f>
        <v>0</v>
      </c>
      <c r="F62" s="303">
        <v>342</v>
      </c>
      <c r="G62" s="38">
        <f t="shared" si="2"/>
        <v>0</v>
      </c>
      <c r="H62" s="248">
        <f t="shared" si="3"/>
        <v>0</v>
      </c>
      <c r="I62" s="5"/>
      <c r="J62" s="5"/>
      <c r="K62" s="5"/>
      <c r="L62" s="5"/>
      <c r="M62" s="5"/>
      <c r="N62" s="5"/>
      <c r="O62" s="5"/>
      <c r="P62" s="5"/>
      <c r="Q62" s="5"/>
    </row>
    <row r="63" spans="1:17" ht="18.75" customHeight="1" thickTop="1" thickBot="1">
      <c r="A63" s="522" t="s">
        <v>25</v>
      </c>
      <c r="B63" s="540"/>
      <c r="C63" s="540"/>
      <c r="D63" s="540"/>
      <c r="E63" s="42"/>
      <c r="F63" s="153"/>
      <c r="G63" s="176">
        <f>SUM(G21:G62)</f>
        <v>0</v>
      </c>
      <c r="H63" s="249">
        <f>G63</f>
        <v>0</v>
      </c>
      <c r="I63" s="5"/>
      <c r="J63" s="5"/>
      <c r="K63" s="5"/>
      <c r="L63" s="5"/>
      <c r="M63" s="5"/>
      <c r="N63" s="5"/>
      <c r="O63" s="5"/>
      <c r="P63" s="5"/>
      <c r="Q63" s="5"/>
    </row>
    <row r="64" spans="1:17" ht="18.75" customHeight="1" thickTop="1" thickBot="1">
      <c r="A64" s="537" t="s">
        <v>156</v>
      </c>
      <c r="B64" s="573"/>
      <c r="C64" s="573"/>
      <c r="D64" s="573"/>
      <c r="E64" s="304">
        <v>0.05</v>
      </c>
      <c r="F64" s="10"/>
      <c r="G64" s="48">
        <f>G63*(1-E64)</f>
        <v>0</v>
      </c>
      <c r="H64" s="249">
        <f>G64</f>
        <v>0</v>
      </c>
      <c r="I64" s="5"/>
      <c r="J64" s="5"/>
      <c r="K64" s="5"/>
      <c r="L64" s="5"/>
      <c r="M64" s="5"/>
      <c r="N64" s="5"/>
      <c r="O64" s="5"/>
      <c r="P64" s="5"/>
      <c r="Q64" s="5"/>
    </row>
    <row r="65" spans="1:24" ht="18.75" customHeight="1" thickTop="1" thickBot="1">
      <c r="A65" s="522" t="s">
        <v>143</v>
      </c>
      <c r="B65" s="540"/>
      <c r="C65" s="540"/>
      <c r="D65" s="540"/>
      <c r="E65" s="42"/>
      <c r="F65" s="43"/>
      <c r="G65" s="48">
        <f>G64*1.21</f>
        <v>0</v>
      </c>
      <c r="H65" s="249">
        <f>G65</f>
        <v>0</v>
      </c>
      <c r="I65" s="5"/>
      <c r="J65" s="5"/>
      <c r="K65" s="5"/>
      <c r="L65" s="5"/>
      <c r="M65" s="5"/>
      <c r="N65" s="5"/>
      <c r="O65" s="5"/>
      <c r="P65" s="5"/>
      <c r="Q65" s="5"/>
    </row>
    <row r="66" spans="1:24" ht="18.75" customHeight="1" thickTop="1">
      <c r="A66" s="53"/>
      <c r="B66" s="46"/>
      <c r="C66" s="46"/>
      <c r="D66" s="46"/>
      <c r="E66" s="53"/>
      <c r="F66" s="53"/>
      <c r="G66" s="230"/>
      <c r="H66" s="249"/>
      <c r="I66" s="5"/>
      <c r="J66" s="5"/>
      <c r="K66" s="5"/>
      <c r="L66" s="5"/>
      <c r="M66" s="5"/>
      <c r="N66" s="5"/>
      <c r="O66" s="5"/>
      <c r="P66" s="5"/>
      <c r="Q66" s="5"/>
    </row>
    <row r="67" spans="1:24" ht="18.75" customHeight="1">
      <c r="A67" s="14"/>
      <c r="B67" s="15"/>
      <c r="C67" s="15"/>
      <c r="D67" s="15"/>
      <c r="E67" s="15"/>
      <c r="F67" s="15"/>
      <c r="G67" s="15"/>
      <c r="H67" s="250" t="s">
        <v>83</v>
      </c>
      <c r="I67" s="5"/>
      <c r="J67" s="5"/>
      <c r="K67" s="5"/>
      <c r="L67" s="5"/>
      <c r="M67" s="5"/>
      <c r="N67" s="5"/>
      <c r="O67" s="5"/>
      <c r="P67" s="5"/>
      <c r="Q67" s="5"/>
    </row>
    <row r="68" spans="1:24" ht="14.25" customHeight="1">
      <c r="A68" s="14" t="s">
        <v>184</v>
      </c>
      <c r="B68" s="15"/>
      <c r="C68" s="15"/>
      <c r="D68" s="15"/>
      <c r="E68" s="15"/>
      <c r="F68" s="15"/>
      <c r="G68" s="15"/>
      <c r="H68" s="250" t="s">
        <v>83</v>
      </c>
      <c r="I68" s="5"/>
      <c r="J68" s="5"/>
      <c r="K68" s="5"/>
      <c r="L68" s="5"/>
      <c r="M68" s="5"/>
      <c r="N68" s="5"/>
      <c r="O68" s="5"/>
      <c r="P68" s="5"/>
      <c r="Q68" s="5"/>
    </row>
    <row r="69" spans="1:24" ht="18.75" customHeight="1">
      <c r="A69" s="541" t="s">
        <v>287</v>
      </c>
      <c r="B69" s="541"/>
      <c r="C69" s="541"/>
      <c r="D69" s="541"/>
      <c r="E69" s="541"/>
      <c r="F69" s="541"/>
      <c r="G69" s="541"/>
      <c r="H69" s="250">
        <f>SUM(H77:H112)</f>
        <v>0</v>
      </c>
      <c r="I69" s="5"/>
      <c r="J69" s="5"/>
      <c r="K69" s="5"/>
      <c r="L69" s="5"/>
      <c r="M69" s="5"/>
      <c r="N69" s="5"/>
      <c r="O69" s="5"/>
      <c r="P69" s="5"/>
      <c r="Q69" s="5"/>
    </row>
    <row r="70" spans="1:24" ht="18.75" customHeight="1">
      <c r="A70" s="72"/>
      <c r="B70" s="72"/>
      <c r="C70" s="72"/>
      <c r="D70" s="72"/>
      <c r="E70" s="72"/>
      <c r="F70" s="72"/>
      <c r="G70" s="72"/>
      <c r="H70" s="250"/>
      <c r="I70" s="5"/>
      <c r="J70" s="5"/>
      <c r="K70" s="5"/>
      <c r="L70" s="5"/>
      <c r="M70" s="5"/>
      <c r="N70" s="5"/>
      <c r="O70" s="5"/>
      <c r="P70" s="5"/>
      <c r="Q70" s="5"/>
    </row>
    <row r="71" spans="1:24" ht="18" customHeight="1">
      <c r="A71" s="533" t="s">
        <v>26</v>
      </c>
      <c r="B71" s="533"/>
      <c r="C71" s="533"/>
      <c r="D71" s="533"/>
      <c r="E71" s="533"/>
      <c r="F71" s="533"/>
      <c r="G71" s="533"/>
      <c r="H71" s="250">
        <f>G88</f>
        <v>0</v>
      </c>
      <c r="I71" s="5"/>
      <c r="J71" s="5"/>
      <c r="K71" s="5"/>
      <c r="L71" s="5"/>
      <c r="M71" s="5"/>
      <c r="N71" s="5"/>
      <c r="O71" s="5"/>
      <c r="P71" s="5"/>
      <c r="Q71" s="5"/>
    </row>
    <row r="72" spans="1:24">
      <c r="A72" s="544"/>
      <c r="B72" s="544"/>
      <c r="C72" s="544"/>
      <c r="D72" s="544"/>
      <c r="E72" s="544"/>
      <c r="F72" s="544"/>
      <c r="G72" s="544"/>
      <c r="H72" s="249">
        <f>G88</f>
        <v>0</v>
      </c>
      <c r="I72" s="5"/>
      <c r="J72" s="5"/>
      <c r="K72" s="5"/>
      <c r="L72" s="5"/>
      <c r="M72" s="5"/>
      <c r="N72" s="5"/>
      <c r="O72" s="5"/>
      <c r="P72" s="5"/>
      <c r="Q72" s="5"/>
    </row>
    <row r="73" spans="1:24" ht="15.75" customHeight="1" thickBot="1">
      <c r="A73" s="16"/>
      <c r="B73" s="15"/>
      <c r="C73" s="15"/>
      <c r="D73" s="15"/>
      <c r="E73" s="15"/>
      <c r="F73" s="15"/>
      <c r="G73" s="15"/>
      <c r="H73" s="249">
        <f>G88</f>
        <v>0</v>
      </c>
      <c r="I73" s="5"/>
      <c r="J73" s="5"/>
      <c r="K73" s="5"/>
      <c r="L73" s="5"/>
      <c r="M73" s="5"/>
      <c r="N73" s="5"/>
      <c r="O73" s="5"/>
      <c r="P73" s="5"/>
      <c r="Q73" s="5"/>
    </row>
    <row r="74" spans="1:24" ht="18.75" customHeight="1" thickTop="1">
      <c r="A74" s="6" t="s">
        <v>1</v>
      </c>
      <c r="B74" s="518" t="s">
        <v>3</v>
      </c>
      <c r="C74" s="518" t="s">
        <v>4</v>
      </c>
      <c r="D74" s="518" t="s">
        <v>5</v>
      </c>
      <c r="E74" s="518" t="s">
        <v>6</v>
      </c>
      <c r="F74" s="7" t="s">
        <v>7</v>
      </c>
      <c r="G74" s="8" t="s">
        <v>9</v>
      </c>
      <c r="H74" s="249">
        <f>G88</f>
        <v>0</v>
      </c>
      <c r="I74" s="5"/>
      <c r="J74" s="5"/>
      <c r="K74" s="5"/>
      <c r="L74" s="5"/>
      <c r="M74" s="5"/>
      <c r="N74" s="5"/>
      <c r="O74" s="5"/>
      <c r="P74" s="5"/>
      <c r="Q74" s="5"/>
    </row>
    <row r="75" spans="1:24" ht="26.25" customHeight="1" thickBot="1">
      <c r="A75" s="17" t="s">
        <v>2</v>
      </c>
      <c r="B75" s="527"/>
      <c r="C75" s="527"/>
      <c r="D75" s="527"/>
      <c r="E75" s="527"/>
      <c r="F75" s="18" t="s">
        <v>8</v>
      </c>
      <c r="G75" s="19" t="s">
        <v>8</v>
      </c>
      <c r="H75" s="249">
        <f>G88</f>
        <v>0</v>
      </c>
      <c r="I75" s="5"/>
      <c r="J75" s="5"/>
      <c r="K75" s="5"/>
      <c r="L75" s="5"/>
      <c r="M75" s="5"/>
      <c r="N75" s="5"/>
      <c r="O75" s="5"/>
      <c r="P75" s="5"/>
      <c r="Q75" s="5"/>
    </row>
    <row r="76" spans="1:24" ht="18" customHeight="1" thickTop="1" thickBot="1">
      <c r="A76" s="531" t="s">
        <v>27</v>
      </c>
      <c r="B76" s="532"/>
      <c r="C76" s="532"/>
      <c r="D76" s="264"/>
      <c r="E76" s="264"/>
      <c r="F76" s="264"/>
      <c r="G76" s="8"/>
      <c r="H76" s="248">
        <f>SUM(H77:H79)</f>
        <v>0</v>
      </c>
      <c r="I76" s="5"/>
      <c r="J76" s="5"/>
      <c r="K76" s="5"/>
      <c r="L76" s="5"/>
      <c r="M76" s="5"/>
      <c r="N76" s="5"/>
      <c r="O76" s="5"/>
      <c r="P76" s="5"/>
      <c r="Q76" s="5"/>
      <c r="S76" s="5"/>
      <c r="T76" s="5"/>
      <c r="U76" s="5"/>
      <c r="V76" s="5"/>
      <c r="W76" s="5"/>
      <c r="X76" s="5"/>
    </row>
    <row r="77" spans="1:24" ht="27.9" customHeight="1" thickTop="1" thickBot="1">
      <c r="A77" s="266"/>
      <c r="B77" s="267" t="s">
        <v>28</v>
      </c>
      <c r="C77" s="269" t="s">
        <v>182</v>
      </c>
      <c r="D77" s="267" t="s">
        <v>11</v>
      </c>
      <c r="E77" s="307">
        <f>'Calcul Folie+Placa Tacker'!K22</f>
        <v>0</v>
      </c>
      <c r="F77" s="287">
        <v>179</v>
      </c>
      <c r="G77" s="270">
        <f>E77*F77</f>
        <v>0</v>
      </c>
      <c r="H77" s="248">
        <f>E77</f>
        <v>0</v>
      </c>
      <c r="I77" s="5"/>
      <c r="J77" s="5"/>
      <c r="K77" s="5"/>
      <c r="L77" s="5"/>
      <c r="M77" s="5"/>
      <c r="N77" s="5"/>
      <c r="O77" s="5"/>
      <c r="P77" s="5"/>
      <c r="Q77" s="5"/>
    </row>
    <row r="78" spans="1:24" ht="18" customHeight="1" thickBot="1">
      <c r="A78" s="12"/>
      <c r="B78" s="3" t="s">
        <v>29</v>
      </c>
      <c r="C78" s="13" t="s">
        <v>30</v>
      </c>
      <c r="D78" s="3" t="s">
        <v>11</v>
      </c>
      <c r="E78" s="299">
        <f>'Calcul Folie+Placa Tacker'!H24</f>
        <v>0</v>
      </c>
      <c r="F78" s="286">
        <v>17</v>
      </c>
      <c r="G78" s="33">
        <f t="shared" ref="G78:G83" si="4">E78*F78</f>
        <v>0</v>
      </c>
      <c r="H78" s="248">
        <f t="shared" ref="H78:H83" si="5">E78</f>
        <v>0</v>
      </c>
      <c r="I78" s="5"/>
      <c r="J78" s="5"/>
      <c r="K78" s="5"/>
      <c r="L78" s="5"/>
      <c r="M78" s="5"/>
      <c r="N78" s="5"/>
      <c r="O78" s="5"/>
      <c r="P78" s="5"/>
      <c r="Q78" s="5"/>
    </row>
    <row r="79" spans="1:24" ht="18" customHeight="1" thickBot="1">
      <c r="A79" s="35"/>
      <c r="B79" s="40" t="s">
        <v>31</v>
      </c>
      <c r="C79" s="37" t="s">
        <v>183</v>
      </c>
      <c r="D79" s="40" t="s">
        <v>11</v>
      </c>
      <c r="E79" s="300">
        <f>IF(OR('Calcul Folie+Placa Tacker'!J22=0),0,'Calcul Folie+Placa Tacker'!J22-1)</f>
        <v>0</v>
      </c>
      <c r="F79" s="288">
        <v>41</v>
      </c>
      <c r="G79" s="38">
        <f t="shared" si="4"/>
        <v>0</v>
      </c>
      <c r="H79" s="248">
        <f t="shared" si="5"/>
        <v>0</v>
      </c>
      <c r="I79" s="5"/>
      <c r="J79" s="5"/>
      <c r="K79" s="5"/>
      <c r="L79" s="5"/>
      <c r="M79" s="5"/>
      <c r="N79" s="5"/>
      <c r="O79" s="5"/>
      <c r="P79" s="5"/>
      <c r="Q79" s="5"/>
    </row>
    <row r="80" spans="1:24" ht="18" customHeight="1" thickTop="1" thickBot="1">
      <c r="A80" s="571" t="s">
        <v>326</v>
      </c>
      <c r="B80" s="572"/>
      <c r="C80" s="572"/>
      <c r="D80" s="165"/>
      <c r="E80" s="165"/>
      <c r="F80" s="14"/>
      <c r="G80" s="166"/>
      <c r="H80" s="248">
        <f>SUM(H81:H83)</f>
        <v>0</v>
      </c>
      <c r="I80" s="5"/>
      <c r="J80" s="5"/>
      <c r="K80" s="5"/>
      <c r="L80" s="5"/>
      <c r="M80" s="5"/>
      <c r="N80" s="5"/>
      <c r="O80" s="5"/>
      <c r="P80" s="5"/>
      <c r="Q80" s="5"/>
    </row>
    <row r="81" spans="1:17" ht="27.9" customHeight="1" thickTop="1" thickBot="1">
      <c r="A81" s="266"/>
      <c r="B81" s="267" t="s">
        <v>28</v>
      </c>
      <c r="C81" s="269" t="s">
        <v>182</v>
      </c>
      <c r="D81" s="267" t="s">
        <v>11</v>
      </c>
      <c r="E81" s="307">
        <f>'Calcul Folie+Placa Tacker'!V22</f>
        <v>0</v>
      </c>
      <c r="F81" s="287">
        <v>179</v>
      </c>
      <c r="G81" s="270">
        <f t="shared" si="4"/>
        <v>0</v>
      </c>
      <c r="H81" s="248">
        <f t="shared" si="5"/>
        <v>0</v>
      </c>
      <c r="I81" s="5"/>
      <c r="J81" s="5"/>
      <c r="K81" s="5"/>
      <c r="L81" s="5"/>
      <c r="M81" s="5"/>
      <c r="N81" s="5"/>
      <c r="O81" s="5"/>
      <c r="P81" s="5"/>
      <c r="Q81" s="5"/>
    </row>
    <row r="82" spans="1:17" ht="18" customHeight="1" thickBot="1">
      <c r="A82" s="12"/>
      <c r="B82" s="3" t="s">
        <v>29</v>
      </c>
      <c r="C82" s="13" t="s">
        <v>30</v>
      </c>
      <c r="D82" s="3" t="s">
        <v>11</v>
      </c>
      <c r="E82" s="299">
        <f>'Calcul Folie+Placa Tacker'!S24</f>
        <v>0</v>
      </c>
      <c r="F82" s="286">
        <v>17</v>
      </c>
      <c r="G82" s="33">
        <f t="shared" si="4"/>
        <v>0</v>
      </c>
      <c r="H82" s="248">
        <f t="shared" si="5"/>
        <v>0</v>
      </c>
      <c r="I82" s="5"/>
      <c r="J82" s="5"/>
      <c r="K82" s="5"/>
      <c r="L82" s="5"/>
      <c r="M82" s="5"/>
      <c r="N82" s="5"/>
      <c r="O82" s="5"/>
      <c r="P82" s="5"/>
      <c r="Q82" s="5"/>
    </row>
    <row r="83" spans="1:17" ht="18" customHeight="1" thickBot="1">
      <c r="A83" s="280"/>
      <c r="B83" s="281" t="s">
        <v>31</v>
      </c>
      <c r="C83" s="282" t="s">
        <v>183</v>
      </c>
      <c r="D83" s="281" t="s">
        <v>11</v>
      </c>
      <c r="E83" s="281">
        <f>IF(OR('Calcul Folie+Placa Tacker'!U22=0),0,'Calcul Folie+Placa Tacker'!U22-1)</f>
        <v>0</v>
      </c>
      <c r="F83" s="288">
        <v>41</v>
      </c>
      <c r="G83" s="340">
        <f t="shared" si="4"/>
        <v>0</v>
      </c>
      <c r="H83" s="248">
        <f t="shared" si="5"/>
        <v>0</v>
      </c>
      <c r="I83" s="5"/>
      <c r="J83" s="5"/>
      <c r="K83" s="5"/>
      <c r="L83" s="5"/>
      <c r="M83" s="5"/>
      <c r="N83" s="5"/>
      <c r="O83" s="5"/>
      <c r="P83" s="5"/>
      <c r="Q83" s="5"/>
    </row>
    <row r="84" spans="1:17" ht="18" customHeight="1" thickTop="1" thickBot="1">
      <c r="A84" s="613" t="s">
        <v>32</v>
      </c>
      <c r="B84" s="614"/>
      <c r="C84" s="614"/>
      <c r="D84" s="315"/>
      <c r="E84" s="315"/>
      <c r="F84" s="14"/>
      <c r="G84" s="164"/>
      <c r="H84" s="248">
        <f>SUM(H85:H87)</f>
        <v>0</v>
      </c>
      <c r="I84" s="5"/>
      <c r="J84" s="5"/>
      <c r="K84" s="5"/>
      <c r="L84" s="5"/>
      <c r="M84" s="5"/>
      <c r="N84" s="5"/>
      <c r="O84" s="5"/>
      <c r="P84" s="5"/>
      <c r="Q84" s="5"/>
    </row>
    <row r="85" spans="1:17" ht="25.5" customHeight="1" thickTop="1" thickBot="1">
      <c r="A85" s="12"/>
      <c r="B85" s="3" t="s">
        <v>28</v>
      </c>
      <c r="C85" s="13" t="s">
        <v>182</v>
      </c>
      <c r="D85" s="3" t="s">
        <v>11</v>
      </c>
      <c r="E85" s="299">
        <f>'Calcul Folie+Placa Tacker'!AG22</f>
        <v>0</v>
      </c>
      <c r="F85" s="287">
        <v>179</v>
      </c>
      <c r="G85" s="33">
        <f>E85*F85</f>
        <v>0</v>
      </c>
      <c r="H85" s="248">
        <f>E85</f>
        <v>0</v>
      </c>
      <c r="I85" s="5"/>
      <c r="J85" s="5"/>
      <c r="K85" s="5"/>
      <c r="L85" s="5"/>
      <c r="M85" s="5"/>
      <c r="N85" s="5"/>
      <c r="O85" s="5"/>
      <c r="P85" s="5"/>
      <c r="Q85" s="5"/>
    </row>
    <row r="86" spans="1:17" ht="18" customHeight="1" thickBot="1">
      <c r="A86" s="12"/>
      <c r="B86" s="3" t="s">
        <v>29</v>
      </c>
      <c r="C86" s="13" t="s">
        <v>30</v>
      </c>
      <c r="D86" s="3" t="s">
        <v>11</v>
      </c>
      <c r="E86" s="299">
        <f>'Calcul Folie+Placa Tacker'!AD24</f>
        <v>0</v>
      </c>
      <c r="F86" s="286">
        <v>17</v>
      </c>
      <c r="G86" s="33">
        <f>E86*F86</f>
        <v>0</v>
      </c>
      <c r="H86" s="248">
        <f>E86</f>
        <v>0</v>
      </c>
      <c r="I86" s="5"/>
      <c r="J86" s="5"/>
      <c r="K86" s="5"/>
      <c r="L86" s="5"/>
      <c r="M86" s="5"/>
      <c r="N86" s="5"/>
      <c r="O86" s="5"/>
      <c r="P86" s="5"/>
      <c r="Q86" s="5"/>
    </row>
    <row r="87" spans="1:17" ht="18" customHeight="1" thickBot="1">
      <c r="A87" s="161"/>
      <c r="B87" s="162" t="s">
        <v>31</v>
      </c>
      <c r="C87" s="163" t="s">
        <v>183</v>
      </c>
      <c r="D87" s="162" t="s">
        <v>11</v>
      </c>
      <c r="E87" s="301">
        <f>IF(OR('Calcul Folie+Placa Tacker'!AF22=0),0,'Calcul Folie+Placa Tacker'!AF22-1)</f>
        <v>0</v>
      </c>
      <c r="F87" s="288">
        <v>41</v>
      </c>
      <c r="G87" s="164">
        <f>E87*F87</f>
        <v>0</v>
      </c>
      <c r="H87" s="248">
        <f>E87</f>
        <v>0</v>
      </c>
      <c r="I87" s="5"/>
      <c r="J87" s="5"/>
      <c r="K87" s="5"/>
      <c r="L87" s="5"/>
      <c r="M87" s="5"/>
      <c r="N87" s="5"/>
      <c r="O87" s="5"/>
      <c r="P87" s="5"/>
      <c r="Q87" s="5"/>
    </row>
    <row r="88" spans="1:17" ht="18" customHeight="1" thickTop="1" thickBot="1">
      <c r="A88" s="537" t="s">
        <v>25</v>
      </c>
      <c r="B88" s="546"/>
      <c r="C88" s="546"/>
      <c r="D88" s="546"/>
      <c r="E88" s="546"/>
      <c r="F88" s="546"/>
      <c r="G88" s="268">
        <f>SUM(G77:G87)</f>
        <v>0</v>
      </c>
      <c r="H88" s="251">
        <f>G88</f>
        <v>0</v>
      </c>
      <c r="I88" s="5"/>
      <c r="J88" s="5"/>
      <c r="K88" s="5"/>
      <c r="L88" s="5"/>
      <c r="M88" s="5"/>
      <c r="N88" s="5"/>
      <c r="O88" s="5"/>
      <c r="P88" s="5"/>
      <c r="Q88" s="5"/>
    </row>
    <row r="89" spans="1:17" ht="18" customHeight="1" thickTop="1" thickBot="1">
      <c r="A89" s="522" t="s">
        <v>157</v>
      </c>
      <c r="B89" s="523"/>
      <c r="C89" s="523"/>
      <c r="D89" s="523"/>
      <c r="E89" s="47">
        <v>0.05</v>
      </c>
      <c r="F89" s="42"/>
      <c r="G89" s="98">
        <f>G88*(1-E89)</f>
        <v>0</v>
      </c>
      <c r="H89" s="251">
        <f>G89</f>
        <v>0</v>
      </c>
      <c r="I89" s="5"/>
      <c r="J89" s="5"/>
      <c r="K89" s="5"/>
      <c r="L89" s="5"/>
      <c r="M89" s="5"/>
      <c r="N89" s="5"/>
      <c r="O89" s="5"/>
      <c r="P89" s="5"/>
      <c r="Q89" s="5"/>
    </row>
    <row r="90" spans="1:17" ht="18" customHeight="1" thickTop="1" thickBot="1">
      <c r="A90" s="547" t="s">
        <v>143</v>
      </c>
      <c r="B90" s="548"/>
      <c r="C90" s="548"/>
      <c r="D90" s="548"/>
      <c r="E90" s="548"/>
      <c r="F90" s="548"/>
      <c r="G90" s="99">
        <f>G89*1.21</f>
        <v>0</v>
      </c>
      <c r="H90" s="251">
        <f>G90</f>
        <v>0</v>
      </c>
      <c r="I90" s="5"/>
      <c r="J90" s="5"/>
      <c r="K90" s="5"/>
      <c r="L90" s="5"/>
      <c r="M90" s="5"/>
      <c r="N90" s="5"/>
      <c r="O90" s="5"/>
      <c r="P90" s="5"/>
      <c r="Q90" s="5"/>
    </row>
    <row r="91" spans="1:17" ht="18.75" customHeight="1" thickTop="1">
      <c r="A91" s="14"/>
      <c r="B91" s="15"/>
      <c r="C91" s="15"/>
      <c r="D91" s="15"/>
      <c r="E91" s="15"/>
      <c r="F91" s="15"/>
      <c r="G91" s="15"/>
      <c r="H91" s="251"/>
      <c r="I91" s="5"/>
      <c r="J91" s="5"/>
      <c r="K91" s="5"/>
      <c r="L91" s="5"/>
      <c r="M91" s="5"/>
      <c r="N91" s="5"/>
      <c r="O91" s="5"/>
      <c r="P91" s="5"/>
      <c r="Q91" s="5"/>
    </row>
    <row r="92" spans="1:17" ht="18" customHeight="1">
      <c r="A92" s="549" t="s">
        <v>178</v>
      </c>
      <c r="B92" s="549"/>
      <c r="C92" s="549"/>
      <c r="D92" s="549"/>
      <c r="E92" s="549"/>
      <c r="F92" s="549"/>
      <c r="G92" s="549"/>
      <c r="H92" s="251">
        <f>G110</f>
        <v>0</v>
      </c>
      <c r="I92" s="5"/>
      <c r="J92" s="5"/>
      <c r="K92" s="5"/>
      <c r="L92" s="5"/>
      <c r="M92" s="5"/>
      <c r="N92" s="5"/>
      <c r="O92" s="5"/>
      <c r="P92" s="5"/>
      <c r="Q92" s="5"/>
    </row>
    <row r="93" spans="1:17" ht="15.9" customHeight="1">
      <c r="A93" s="544"/>
      <c r="B93" s="544"/>
      <c r="C93" s="544"/>
      <c r="D93" s="544"/>
      <c r="E93" s="544"/>
      <c r="F93" s="544"/>
      <c r="G93" s="544"/>
      <c r="H93" s="251">
        <f>G110</f>
        <v>0</v>
      </c>
      <c r="I93" s="5"/>
      <c r="J93" s="5"/>
      <c r="K93" s="5"/>
      <c r="L93" s="5"/>
      <c r="M93" s="5"/>
      <c r="N93" s="5"/>
      <c r="O93" s="5"/>
      <c r="P93" s="5"/>
      <c r="Q93" s="5"/>
    </row>
    <row r="94" spans="1:17" ht="15.75" customHeight="1" thickBot="1">
      <c r="A94" s="16"/>
      <c r="B94" s="15"/>
      <c r="C94" s="15"/>
      <c r="D94" s="15"/>
      <c r="E94" s="15"/>
      <c r="F94" s="15"/>
      <c r="G94" s="15"/>
      <c r="H94" s="251">
        <f>G110</f>
        <v>0</v>
      </c>
      <c r="I94" s="5"/>
      <c r="J94" s="5"/>
      <c r="K94" s="5"/>
      <c r="L94" s="5"/>
      <c r="M94" s="5"/>
      <c r="N94" s="5"/>
      <c r="O94" s="5"/>
      <c r="P94" s="5"/>
      <c r="Q94" s="5"/>
    </row>
    <row r="95" spans="1:17" ht="18" customHeight="1" thickTop="1">
      <c r="A95" s="6" t="s">
        <v>1</v>
      </c>
      <c r="B95" s="518" t="s">
        <v>3</v>
      </c>
      <c r="C95" s="518" t="s">
        <v>4</v>
      </c>
      <c r="D95" s="518" t="s">
        <v>5</v>
      </c>
      <c r="E95" s="518" t="s">
        <v>6</v>
      </c>
      <c r="F95" s="7" t="s">
        <v>7</v>
      </c>
      <c r="G95" s="8" t="s">
        <v>9</v>
      </c>
      <c r="H95" s="251">
        <f>G110</f>
        <v>0</v>
      </c>
      <c r="I95" s="5"/>
      <c r="J95" s="5"/>
      <c r="K95" s="5"/>
      <c r="L95" s="5"/>
      <c r="M95" s="5"/>
      <c r="N95" s="5"/>
      <c r="O95" s="5"/>
      <c r="P95" s="5"/>
      <c r="Q95" s="5"/>
    </row>
    <row r="96" spans="1:17" ht="27" customHeight="1" thickBot="1">
      <c r="A96" s="17" t="s">
        <v>2</v>
      </c>
      <c r="B96" s="527"/>
      <c r="C96" s="527"/>
      <c r="D96" s="527"/>
      <c r="E96" s="527"/>
      <c r="F96" s="18" t="s">
        <v>8</v>
      </c>
      <c r="G96" s="19" t="s">
        <v>8</v>
      </c>
      <c r="H96" s="251">
        <f>G110</f>
        <v>0</v>
      </c>
      <c r="I96" s="5"/>
      <c r="J96" s="5"/>
      <c r="K96" s="5"/>
      <c r="L96" s="5"/>
      <c r="M96" s="5"/>
      <c r="N96" s="5"/>
      <c r="O96" s="5"/>
      <c r="P96" s="5"/>
      <c r="Q96" s="5"/>
    </row>
    <row r="97" spans="1:17" ht="18" customHeight="1" thickTop="1" thickBot="1">
      <c r="A97" s="571" t="s">
        <v>27</v>
      </c>
      <c r="B97" s="578"/>
      <c r="C97" s="578"/>
      <c r="D97" s="165"/>
      <c r="E97" s="165"/>
      <c r="F97" s="165"/>
      <c r="G97" s="153"/>
      <c r="H97" s="248">
        <f>SUM(H98:H100)</f>
        <v>0</v>
      </c>
      <c r="I97" s="5"/>
      <c r="J97" s="5"/>
      <c r="K97" s="5"/>
      <c r="L97" s="5"/>
      <c r="M97" s="5"/>
      <c r="N97" s="5"/>
      <c r="O97" s="5"/>
      <c r="P97" s="5"/>
      <c r="Q97" s="5"/>
    </row>
    <row r="98" spans="1:17" ht="27.9" customHeight="1" thickTop="1" thickBot="1">
      <c r="A98" s="12"/>
      <c r="B98" s="3" t="s">
        <v>376</v>
      </c>
      <c r="C98" s="13" t="s">
        <v>379</v>
      </c>
      <c r="D98" s="3" t="s">
        <v>11</v>
      </c>
      <c r="E98" s="308">
        <f>'Calcul Folie+Placa Tacker'!K22</f>
        <v>0</v>
      </c>
      <c r="F98" s="287">
        <v>229</v>
      </c>
      <c r="G98" s="33">
        <f>E98*F98</f>
        <v>0</v>
      </c>
      <c r="H98" s="248">
        <f>E98</f>
        <v>0</v>
      </c>
      <c r="I98" s="5"/>
      <c r="J98" s="312"/>
      <c r="K98" s="5"/>
      <c r="L98" s="5"/>
      <c r="M98" s="5"/>
      <c r="N98" s="5"/>
      <c r="O98" s="5"/>
      <c r="P98" s="5"/>
      <c r="Q98" s="5"/>
    </row>
    <row r="99" spans="1:17" ht="18" customHeight="1" thickBot="1">
      <c r="A99" s="12"/>
      <c r="B99" s="3" t="s">
        <v>29</v>
      </c>
      <c r="C99" s="13" t="s">
        <v>30</v>
      </c>
      <c r="D99" s="3" t="s">
        <v>11</v>
      </c>
      <c r="E99" s="308">
        <f>'Calcul Folie+Placa Tacker'!H24</f>
        <v>0</v>
      </c>
      <c r="F99" s="286">
        <v>17</v>
      </c>
      <c r="G99" s="33">
        <f t="shared" ref="G99:G108" si="6">E99*F99</f>
        <v>0</v>
      </c>
      <c r="H99" s="248">
        <f>E99</f>
        <v>0</v>
      </c>
      <c r="I99" s="5"/>
      <c r="J99" s="5"/>
      <c r="K99" s="5"/>
      <c r="L99" s="5"/>
      <c r="M99" s="5"/>
      <c r="N99" s="5"/>
      <c r="O99" s="5"/>
      <c r="P99" s="5"/>
      <c r="Q99" s="5"/>
    </row>
    <row r="100" spans="1:17" ht="18" customHeight="1" thickBot="1">
      <c r="A100" s="35"/>
      <c r="B100" s="40" t="s">
        <v>377</v>
      </c>
      <c r="C100" s="37" t="s">
        <v>378</v>
      </c>
      <c r="D100" s="40" t="s">
        <v>11</v>
      </c>
      <c r="E100" s="300">
        <f>'Calcul Folie+Placa Tacker'!J22</f>
        <v>0</v>
      </c>
      <c r="F100" s="303">
        <v>63</v>
      </c>
      <c r="G100" s="38">
        <f t="shared" si="6"/>
        <v>0</v>
      </c>
      <c r="H100" s="248">
        <f>E100</f>
        <v>0</v>
      </c>
      <c r="I100" s="5"/>
      <c r="J100" s="5"/>
      <c r="K100" s="5"/>
      <c r="L100" s="5"/>
      <c r="M100" s="5"/>
      <c r="N100" s="5"/>
      <c r="O100" s="5"/>
      <c r="P100" s="5"/>
      <c r="Q100" s="5"/>
    </row>
    <row r="101" spans="1:17" ht="18" customHeight="1" thickTop="1" thickBot="1">
      <c r="A101" s="571" t="s">
        <v>326</v>
      </c>
      <c r="B101" s="572"/>
      <c r="C101" s="572"/>
      <c r="D101" s="165"/>
      <c r="E101" s="165"/>
      <c r="F101" s="309"/>
      <c r="G101" s="166"/>
      <c r="H101" s="248">
        <f>SUM(H102:H104)</f>
        <v>0</v>
      </c>
      <c r="I101" s="5"/>
      <c r="J101" s="5"/>
      <c r="K101" s="5"/>
      <c r="L101" s="5"/>
      <c r="M101" s="5"/>
      <c r="N101" s="5"/>
      <c r="O101" s="5"/>
      <c r="P101" s="5"/>
      <c r="Q101" s="5"/>
    </row>
    <row r="102" spans="1:17" ht="27.9" customHeight="1" thickTop="1" thickBot="1">
      <c r="A102" s="12"/>
      <c r="B102" s="3" t="s">
        <v>376</v>
      </c>
      <c r="C102" s="13" t="s">
        <v>379</v>
      </c>
      <c r="D102" s="3" t="s">
        <v>11</v>
      </c>
      <c r="E102" s="299">
        <f>'Calcul Folie+Placa Tacker'!V22</f>
        <v>0</v>
      </c>
      <c r="F102" s="287">
        <v>229</v>
      </c>
      <c r="G102" s="33">
        <f>E102*F102</f>
        <v>0</v>
      </c>
      <c r="H102" s="248">
        <f>E102</f>
        <v>0</v>
      </c>
      <c r="I102" s="5"/>
      <c r="J102" s="5"/>
      <c r="K102" s="5"/>
      <c r="L102" s="5"/>
      <c r="M102" s="5"/>
      <c r="N102" s="5"/>
      <c r="O102" s="5"/>
      <c r="P102" s="5"/>
      <c r="Q102" s="5"/>
    </row>
    <row r="103" spans="1:17" ht="18" customHeight="1" thickBot="1">
      <c r="A103" s="12"/>
      <c r="B103" s="3" t="s">
        <v>29</v>
      </c>
      <c r="C103" s="13" t="s">
        <v>30</v>
      </c>
      <c r="D103" s="3" t="s">
        <v>11</v>
      </c>
      <c r="E103" s="299">
        <f>'Calcul Folie+Placa Tacker'!S24</f>
        <v>0</v>
      </c>
      <c r="F103" s="286">
        <v>17</v>
      </c>
      <c r="G103" s="33">
        <f>E103*F103</f>
        <v>0</v>
      </c>
      <c r="H103" s="248">
        <f>E103</f>
        <v>0</v>
      </c>
      <c r="I103" s="5"/>
      <c r="J103" s="5"/>
      <c r="K103" s="5"/>
      <c r="L103" s="5"/>
      <c r="M103" s="5"/>
      <c r="N103" s="5"/>
      <c r="O103" s="5"/>
      <c r="P103" s="5"/>
      <c r="Q103" s="5"/>
    </row>
    <row r="104" spans="1:17" ht="18" customHeight="1" thickBot="1">
      <c r="A104" s="35"/>
      <c r="B104" s="40" t="s">
        <v>377</v>
      </c>
      <c r="C104" s="37" t="s">
        <v>378</v>
      </c>
      <c r="D104" s="40" t="s">
        <v>11</v>
      </c>
      <c r="E104" s="300">
        <f>'Calcul Folie+Placa Tacker'!U22</f>
        <v>0</v>
      </c>
      <c r="F104" s="303">
        <v>63</v>
      </c>
      <c r="G104" s="38">
        <f>E104*F104</f>
        <v>0</v>
      </c>
      <c r="H104" s="248">
        <f>E104</f>
        <v>0</v>
      </c>
      <c r="I104" s="5"/>
      <c r="J104" s="5"/>
      <c r="K104" s="5"/>
      <c r="L104" s="5"/>
      <c r="M104" s="5"/>
      <c r="N104" s="5"/>
      <c r="O104" s="5"/>
      <c r="P104" s="5"/>
      <c r="Q104" s="5"/>
    </row>
    <row r="105" spans="1:17" ht="18" customHeight="1" thickTop="1" thickBot="1">
      <c r="A105" s="571" t="s">
        <v>32</v>
      </c>
      <c r="B105" s="572"/>
      <c r="C105" s="572"/>
      <c r="D105" s="165"/>
      <c r="E105" s="165"/>
      <c r="F105" s="310"/>
      <c r="G105" s="166"/>
      <c r="H105" s="248">
        <f>SUM(H106:H108)</f>
        <v>0</v>
      </c>
      <c r="J105" s="5"/>
    </row>
    <row r="106" spans="1:17" ht="27.9" customHeight="1" thickTop="1" thickBot="1">
      <c r="A106" s="12"/>
      <c r="B106" s="3" t="s">
        <v>376</v>
      </c>
      <c r="C106" s="13" t="s">
        <v>379</v>
      </c>
      <c r="D106" s="3" t="s">
        <v>11</v>
      </c>
      <c r="E106" s="299">
        <f>'Calcul Folie+Placa Tacker'!AG22</f>
        <v>0</v>
      </c>
      <c r="F106" s="287">
        <v>229</v>
      </c>
      <c r="G106" s="33">
        <f t="shared" si="6"/>
        <v>0</v>
      </c>
      <c r="H106" s="248">
        <f>E106</f>
        <v>0</v>
      </c>
      <c r="J106" s="5"/>
    </row>
    <row r="107" spans="1:17" ht="18" customHeight="1" thickBot="1">
      <c r="A107" s="12"/>
      <c r="B107" s="3" t="s">
        <v>29</v>
      </c>
      <c r="C107" s="13" t="s">
        <v>30</v>
      </c>
      <c r="D107" s="3" t="s">
        <v>11</v>
      </c>
      <c r="E107" s="299">
        <f>'Calcul Folie+Placa Tacker'!AD24</f>
        <v>0</v>
      </c>
      <c r="F107" s="286">
        <v>17</v>
      </c>
      <c r="G107" s="33">
        <f t="shared" si="6"/>
        <v>0</v>
      </c>
      <c r="H107" s="248">
        <f>E107</f>
        <v>0</v>
      </c>
      <c r="J107" s="5"/>
    </row>
    <row r="108" spans="1:17" ht="18" customHeight="1" thickBot="1">
      <c r="A108" s="35"/>
      <c r="B108" s="40" t="s">
        <v>377</v>
      </c>
      <c r="C108" s="37" t="s">
        <v>378</v>
      </c>
      <c r="D108" s="40" t="s">
        <v>11</v>
      </c>
      <c r="E108" s="300">
        <f>'Calcul Folie+Placa Tacker'!AF22</f>
        <v>0</v>
      </c>
      <c r="F108" s="288">
        <v>63</v>
      </c>
      <c r="G108" s="38">
        <f t="shared" si="6"/>
        <v>0</v>
      </c>
      <c r="H108" s="248">
        <f>E108</f>
        <v>0</v>
      </c>
      <c r="J108" s="5"/>
    </row>
    <row r="109" spans="1:17" ht="18" customHeight="1" thickTop="1" thickBot="1">
      <c r="A109" s="522" t="s">
        <v>25</v>
      </c>
      <c r="B109" s="523"/>
      <c r="C109" s="523"/>
      <c r="D109" s="523"/>
      <c r="E109" s="523"/>
      <c r="F109" s="577"/>
      <c r="G109" s="96">
        <f>SUM(G98:G108)</f>
        <v>0</v>
      </c>
      <c r="H109" s="251">
        <f>G109</f>
        <v>0</v>
      </c>
      <c r="J109" s="5"/>
    </row>
    <row r="110" spans="1:17" ht="18" customHeight="1" thickTop="1" thickBot="1">
      <c r="A110" s="537" t="s">
        <v>157</v>
      </c>
      <c r="B110" s="573"/>
      <c r="C110" s="573"/>
      <c r="D110" s="573"/>
      <c r="E110" s="304">
        <v>0.05</v>
      </c>
      <c r="F110" s="265"/>
      <c r="G110" s="243">
        <f>G109*(1-E110)</f>
        <v>0</v>
      </c>
      <c r="H110" s="251">
        <f>G110</f>
        <v>0</v>
      </c>
      <c r="J110" s="5"/>
    </row>
    <row r="111" spans="1:17" ht="18" customHeight="1" thickTop="1" thickBot="1">
      <c r="A111" s="522" t="s">
        <v>143</v>
      </c>
      <c r="B111" s="523"/>
      <c r="C111" s="523"/>
      <c r="D111" s="523"/>
      <c r="E111" s="523"/>
      <c r="F111" s="523"/>
      <c r="G111" s="243">
        <f>G110*1.21</f>
        <v>0</v>
      </c>
      <c r="H111" s="251">
        <f>G111</f>
        <v>0</v>
      </c>
      <c r="J111" s="5"/>
    </row>
    <row r="112" spans="1:17" ht="15" thickTop="1">
      <c r="H112" s="251">
        <f>G112</f>
        <v>0</v>
      </c>
    </row>
    <row r="113" spans="1:26">
      <c r="H113" s="244"/>
    </row>
    <row r="114" spans="1:26">
      <c r="H114" s="244"/>
    </row>
    <row r="115" spans="1:26">
      <c r="H115" s="244"/>
    </row>
    <row r="116" spans="1:26" ht="18.75" customHeight="1">
      <c r="A116" s="520" t="s">
        <v>335</v>
      </c>
      <c r="B116" s="521"/>
      <c r="C116" s="521"/>
      <c r="D116" s="521"/>
      <c r="E116" s="521"/>
      <c r="F116" s="521"/>
      <c r="G116" s="521"/>
      <c r="H116" s="251">
        <f>SUM(H118:H122)</f>
        <v>0</v>
      </c>
    </row>
    <row r="117" spans="1:26" ht="15" thickBot="1">
      <c r="A117" s="53"/>
      <c r="B117" s="53"/>
      <c r="C117" s="53"/>
      <c r="D117" s="53"/>
      <c r="E117" s="53"/>
      <c r="F117" s="53"/>
      <c r="G117" s="70"/>
      <c r="H117" s="251"/>
    </row>
    <row r="118" spans="1:26" ht="18" customHeight="1" thickTop="1">
      <c r="A118" s="6" t="s">
        <v>1</v>
      </c>
      <c r="B118" s="518"/>
      <c r="C118" s="518" t="s">
        <v>4</v>
      </c>
      <c r="D118" s="518" t="s">
        <v>5</v>
      </c>
      <c r="E118" s="518" t="s">
        <v>6</v>
      </c>
      <c r="F118" s="7" t="s">
        <v>7</v>
      </c>
      <c r="G118" s="8" t="s">
        <v>9</v>
      </c>
      <c r="H118" s="251">
        <f>G122</f>
        <v>0</v>
      </c>
    </row>
    <row r="119" spans="1:26" ht="18" customHeight="1" thickBot="1">
      <c r="A119" s="9" t="s">
        <v>2</v>
      </c>
      <c r="B119" s="519"/>
      <c r="C119" s="519"/>
      <c r="D119" s="519"/>
      <c r="E119" s="519"/>
      <c r="F119" s="10" t="s">
        <v>330</v>
      </c>
      <c r="G119" s="11" t="s">
        <v>330</v>
      </c>
      <c r="H119" s="251">
        <f>G122</f>
        <v>0</v>
      </c>
    </row>
    <row r="120" spans="1:26" ht="18" customHeight="1" thickTop="1" thickBot="1">
      <c r="A120" s="12"/>
      <c r="B120" s="3"/>
      <c r="C120" s="13" t="s">
        <v>329</v>
      </c>
      <c r="D120" s="3" t="s">
        <v>92</v>
      </c>
      <c r="E120" s="212">
        <f>'Calcul Folie+Placa Tacker'!A24</f>
        <v>0</v>
      </c>
      <c r="F120" s="150">
        <v>10</v>
      </c>
      <c r="G120" s="33">
        <f>E120*F120</f>
        <v>0</v>
      </c>
      <c r="H120" s="251">
        <f>E120</f>
        <v>0</v>
      </c>
    </row>
    <row r="121" spans="1:26" ht="18" customHeight="1" thickBot="1">
      <c r="A121" s="221"/>
      <c r="B121" s="222"/>
      <c r="C121" s="220" t="s">
        <v>332</v>
      </c>
      <c r="D121" s="222" t="s">
        <v>331</v>
      </c>
      <c r="E121" s="225">
        <f>IF(AND(E77=1, E81=1, E85=1), 3,
IF(OR(AND(E77=1, E81=1), AND(E77=1, E85=1), AND(E81=1, E85=1)), 2,
IF(OR(E77=1, E81=1, E85=1), 1, 0)))</f>
        <v>0</v>
      </c>
      <c r="F121" s="225">
        <v>170</v>
      </c>
      <c r="G121" s="262">
        <f>E121*F121</f>
        <v>0</v>
      </c>
      <c r="H121" s="251">
        <f>E121</f>
        <v>0</v>
      </c>
    </row>
    <row r="122" spans="1:26" ht="18" customHeight="1" thickTop="1" thickBot="1">
      <c r="A122" s="522" t="s">
        <v>334</v>
      </c>
      <c r="B122" s="523"/>
      <c r="C122" s="523"/>
      <c r="D122" s="523"/>
      <c r="E122" s="523"/>
      <c r="F122" s="523"/>
      <c r="G122" s="98">
        <f>SUM(G120:G121)</f>
        <v>0</v>
      </c>
      <c r="H122" s="251">
        <f>G122</f>
        <v>0</v>
      </c>
    </row>
    <row r="123" spans="1:26" ht="18" customHeight="1" thickTop="1">
      <c r="A123" s="53"/>
      <c r="B123" s="53"/>
      <c r="C123" s="53"/>
      <c r="D123" s="53"/>
      <c r="E123" s="53"/>
      <c r="F123" s="53"/>
      <c r="G123" s="70"/>
      <c r="H123" s="251">
        <f>SUM(H118:H122)</f>
        <v>0</v>
      </c>
      <c r="J123" s="79"/>
      <c r="K123" s="80"/>
      <c r="L123" s="80"/>
      <c r="M123" s="78"/>
      <c r="N123" s="78"/>
      <c r="P123" s="49"/>
      <c r="Q123" s="92"/>
      <c r="R123" s="92"/>
      <c r="S123" s="92"/>
      <c r="T123" s="69"/>
      <c r="U123" s="69"/>
      <c r="V123" s="93"/>
      <c r="W123" s="88"/>
      <c r="X123" s="89"/>
      <c r="Y123" s="89"/>
      <c r="Z123" s="69"/>
    </row>
    <row r="124" spans="1:26" ht="18.75" customHeight="1">
      <c r="A124" s="520" t="s">
        <v>336</v>
      </c>
      <c r="B124" s="521"/>
      <c r="C124" s="521"/>
      <c r="D124" s="521"/>
      <c r="E124" s="521"/>
      <c r="F124" s="521"/>
      <c r="G124" s="521"/>
      <c r="H124" s="251">
        <f>SUM(H126:H130)</f>
        <v>0</v>
      </c>
    </row>
    <row r="125" spans="1:26" ht="15" thickBot="1">
      <c r="A125" s="53"/>
      <c r="B125" s="53"/>
      <c r="C125" s="53"/>
      <c r="D125" s="53"/>
      <c r="E125" s="53"/>
      <c r="F125" s="53"/>
      <c r="G125" s="70"/>
      <c r="H125" s="251">
        <f>G130</f>
        <v>0</v>
      </c>
    </row>
    <row r="126" spans="1:26" ht="18" customHeight="1" thickTop="1">
      <c r="A126" s="6" t="s">
        <v>1</v>
      </c>
      <c r="B126" s="518"/>
      <c r="C126" s="518" t="s">
        <v>4</v>
      </c>
      <c r="D126" s="518" t="s">
        <v>5</v>
      </c>
      <c r="E126" s="518" t="s">
        <v>6</v>
      </c>
      <c r="F126" s="7" t="s">
        <v>7</v>
      </c>
      <c r="G126" s="8" t="s">
        <v>9</v>
      </c>
      <c r="H126" s="251">
        <f>G130</f>
        <v>0</v>
      </c>
    </row>
    <row r="127" spans="1:26" ht="18" customHeight="1" thickBot="1">
      <c r="A127" s="9" t="s">
        <v>2</v>
      </c>
      <c r="B127" s="519"/>
      <c r="C127" s="519"/>
      <c r="D127" s="519"/>
      <c r="E127" s="519"/>
      <c r="F127" s="10" t="s">
        <v>330</v>
      </c>
      <c r="G127" s="11" t="s">
        <v>330</v>
      </c>
      <c r="H127" s="251">
        <f>G130</f>
        <v>0</v>
      </c>
    </row>
    <row r="128" spans="1:26" ht="18" customHeight="1" thickTop="1" thickBot="1">
      <c r="A128" s="12"/>
      <c r="B128" s="3"/>
      <c r="C128" s="13" t="s">
        <v>329</v>
      </c>
      <c r="D128" s="3" t="s">
        <v>92</v>
      </c>
      <c r="E128" s="212">
        <f>'Calcul Folie+Placa Tacker'!A24</f>
        <v>0</v>
      </c>
      <c r="F128" s="150">
        <v>10</v>
      </c>
      <c r="G128" s="33">
        <f>E128*F128</f>
        <v>0</v>
      </c>
      <c r="H128" s="251">
        <f>E128</f>
        <v>0</v>
      </c>
    </row>
    <row r="129" spans="1:19" ht="18" customHeight="1" thickBot="1">
      <c r="A129" s="223"/>
      <c r="B129" s="224"/>
      <c r="C129" s="219" t="s">
        <v>333</v>
      </c>
      <c r="D129" s="227" t="s">
        <v>331</v>
      </c>
      <c r="E129" s="228">
        <f>IF(AND(E98=1, E102=1, E106=1), 3,
IF(OR(AND(E98=1, E102=1), AND(E98=1, E106=1), AND(E102=1, E106=1)), 2,
IF(OR(E98=1, E102=1, E106=1), 1, 0)))</f>
        <v>0</v>
      </c>
      <c r="F129" s="228">
        <v>120</v>
      </c>
      <c r="G129" s="263">
        <f>E129*F129</f>
        <v>0</v>
      </c>
      <c r="H129" s="251">
        <f>E129</f>
        <v>0</v>
      </c>
    </row>
    <row r="130" spans="1:19" ht="18" customHeight="1" thickTop="1" thickBot="1">
      <c r="A130" s="522" t="s">
        <v>334</v>
      </c>
      <c r="B130" s="523"/>
      <c r="C130" s="523"/>
      <c r="D130" s="523"/>
      <c r="E130" s="523"/>
      <c r="F130" s="523"/>
      <c r="G130" s="98">
        <f>SUM(G128:G129)</f>
        <v>0</v>
      </c>
      <c r="H130" s="251">
        <f>G130</f>
        <v>0</v>
      </c>
    </row>
    <row r="131" spans="1:19" ht="15" thickTop="1">
      <c r="H131" s="251"/>
    </row>
    <row r="133" spans="1:19" ht="18.75" customHeight="1">
      <c r="A133" s="544" t="s">
        <v>169</v>
      </c>
      <c r="B133" s="544"/>
      <c r="C133" s="544"/>
      <c r="D133" s="544"/>
      <c r="E133" s="544"/>
      <c r="F133" s="544"/>
      <c r="G133" s="544"/>
      <c r="H133" s="242" t="s">
        <v>83</v>
      </c>
    </row>
    <row r="134" spans="1:19" ht="16.5" customHeight="1">
      <c r="A134" s="559" t="s">
        <v>170</v>
      </c>
      <c r="B134" s="559"/>
      <c r="C134" s="559"/>
      <c r="D134" s="559"/>
      <c r="E134" s="559"/>
      <c r="F134" s="559"/>
      <c r="G134" s="559"/>
      <c r="H134" s="242" t="s">
        <v>83</v>
      </c>
    </row>
    <row r="135" spans="1:19" ht="27.75" customHeight="1">
      <c r="A135" s="559" t="s">
        <v>284</v>
      </c>
      <c r="B135" s="559"/>
      <c r="C135" s="559"/>
      <c r="D135" s="559"/>
      <c r="E135" s="559"/>
      <c r="F135" s="559"/>
      <c r="G135" s="559"/>
      <c r="H135" s="242" t="s">
        <v>83</v>
      </c>
    </row>
    <row r="136" spans="1:19" ht="15.75" customHeight="1">
      <c r="A136" s="559" t="s">
        <v>384</v>
      </c>
      <c r="B136" s="559"/>
      <c r="C136" s="559"/>
      <c r="D136" s="559"/>
      <c r="E136" s="559"/>
      <c r="F136" s="559"/>
      <c r="G136" s="559"/>
      <c r="H136" s="242"/>
    </row>
    <row r="137" spans="1:19" ht="15" customHeight="1">
      <c r="A137" s="559" t="s">
        <v>411</v>
      </c>
      <c r="B137" s="559"/>
      <c r="C137" s="559"/>
      <c r="D137" s="559"/>
      <c r="E137" s="559"/>
      <c r="F137" s="559"/>
      <c r="G137" s="559"/>
      <c r="H137" s="242" t="s">
        <v>83</v>
      </c>
      <c r="M137" t="s">
        <v>175</v>
      </c>
    </row>
    <row r="138" spans="1:19" ht="28.5" customHeight="1">
      <c r="A138" s="559" t="s">
        <v>328</v>
      </c>
      <c r="B138" s="559"/>
      <c r="C138" s="559"/>
      <c r="D138" s="559"/>
      <c r="E138" s="559"/>
      <c r="F138" s="559"/>
      <c r="G138" s="559"/>
      <c r="I138" s="558"/>
      <c r="J138" s="558"/>
      <c r="K138" s="558"/>
      <c r="L138" s="83"/>
      <c r="M138" s="84"/>
      <c r="N138" s="84"/>
      <c r="O138" s="51"/>
      <c r="P138" s="49"/>
      <c r="Q138" s="50"/>
      <c r="R138" s="50"/>
      <c r="S138" s="50"/>
    </row>
    <row r="139" spans="1:19" ht="27" customHeight="1">
      <c r="A139" s="559" t="s">
        <v>174</v>
      </c>
      <c r="B139" s="559"/>
      <c r="C139" s="559"/>
      <c r="D139" s="559"/>
      <c r="E139" s="559"/>
      <c r="F139" s="559"/>
      <c r="G139" s="559"/>
      <c r="H139" s="242" t="s">
        <v>83</v>
      </c>
    </row>
    <row r="140" spans="1:19" ht="16.5" customHeight="1">
      <c r="A140" s="16"/>
      <c r="B140" s="16"/>
      <c r="C140" s="16"/>
      <c r="D140" s="16"/>
      <c r="E140" s="16"/>
      <c r="F140" s="16"/>
      <c r="G140" s="16"/>
      <c r="H140" s="242" t="s">
        <v>83</v>
      </c>
    </row>
    <row r="141" spans="1:19">
      <c r="A141" s="560" t="s">
        <v>142</v>
      </c>
      <c r="B141" s="530"/>
      <c r="C141" s="530"/>
      <c r="G141" s="44"/>
      <c r="H141" s="242" t="s">
        <v>83</v>
      </c>
    </row>
    <row r="142" spans="1:19">
      <c r="A142" s="612" t="s">
        <v>141</v>
      </c>
      <c r="B142" s="612"/>
      <c r="C142" s="612"/>
      <c r="D142" s="45"/>
      <c r="G142" s="44"/>
      <c r="H142" s="242"/>
      <c r="K142" s="560"/>
      <c r="L142" s="560"/>
      <c r="M142" s="560"/>
      <c r="N142" s="560"/>
      <c r="O142" s="560"/>
      <c r="P142" s="560"/>
      <c r="Q142" s="560"/>
    </row>
    <row r="143" spans="1:19" ht="15" customHeight="1">
      <c r="A143" s="544" t="s">
        <v>56</v>
      </c>
      <c r="B143" s="544"/>
      <c r="C143" s="544"/>
      <c r="D143" s="544"/>
      <c r="E143" s="544"/>
      <c r="F143" s="544"/>
      <c r="G143" s="544"/>
      <c r="H143" s="242" t="s">
        <v>83</v>
      </c>
    </row>
    <row r="144" spans="1:19" ht="15" customHeight="1">
      <c r="A144" s="544" t="s">
        <v>93</v>
      </c>
      <c r="B144" s="544"/>
      <c r="C144" s="544"/>
      <c r="D144" s="544"/>
      <c r="E144" s="544"/>
      <c r="F144" s="544"/>
      <c r="G144" s="544"/>
      <c r="H144" s="242" t="s">
        <v>83</v>
      </c>
    </row>
    <row r="145" spans="1:8" ht="15" customHeight="1">
      <c r="A145" s="544" t="s">
        <v>57</v>
      </c>
      <c r="B145" s="544"/>
      <c r="C145" s="544"/>
      <c r="D145" s="544"/>
      <c r="E145" s="544"/>
      <c r="F145" s="544"/>
      <c r="G145" s="544"/>
      <c r="H145" s="242" t="s">
        <v>83</v>
      </c>
    </row>
    <row r="146" spans="1:8">
      <c r="A146" s="16"/>
      <c r="B146" s="15"/>
      <c r="C146" s="15"/>
      <c r="D146" s="15"/>
      <c r="E146" s="15"/>
      <c r="F146" s="15"/>
      <c r="G146" s="15"/>
      <c r="H146" s="242" t="s">
        <v>83</v>
      </c>
    </row>
    <row r="147" spans="1:8">
      <c r="A147" s="15"/>
      <c r="B147" s="21" t="s">
        <v>33</v>
      </c>
      <c r="C147" s="22"/>
      <c r="D147" s="22"/>
      <c r="E147" s="22"/>
      <c r="F147" s="22"/>
      <c r="G147" s="22"/>
      <c r="H147" s="242" t="s">
        <v>83</v>
      </c>
    </row>
    <row r="148" spans="1:8">
      <c r="A148" s="15"/>
      <c r="B148" s="23"/>
      <c r="C148" s="24"/>
      <c r="D148" s="24"/>
      <c r="E148" s="24"/>
      <c r="F148" s="24"/>
      <c r="G148" s="24"/>
      <c r="H148" s="242" t="s">
        <v>83</v>
      </c>
    </row>
    <row r="149" spans="1:8">
      <c r="A149" s="25"/>
      <c r="B149" s="26"/>
      <c r="C149" s="25"/>
      <c r="D149" s="25"/>
      <c r="E149" s="25"/>
      <c r="F149" s="25"/>
      <c r="G149" s="25"/>
      <c r="H149" s="242" t="s">
        <v>83</v>
      </c>
    </row>
    <row r="150" spans="1:8" ht="12" customHeight="1">
      <c r="A150" s="25"/>
      <c r="B150" s="26" t="s">
        <v>34</v>
      </c>
      <c r="C150" s="25"/>
      <c r="D150" s="25"/>
      <c r="E150" s="25"/>
      <c r="F150" s="25"/>
      <c r="G150" s="25"/>
      <c r="H150" s="242" t="s">
        <v>83</v>
      </c>
    </row>
  </sheetData>
  <autoFilter ref="H20:H130" xr:uid="{0960169B-9352-426E-8DCA-2F0F3405DEC1}"/>
  <mergeCells count="70">
    <mergeCell ref="A122:F122"/>
    <mergeCell ref="A124:G124"/>
    <mergeCell ref="A110:D110"/>
    <mergeCell ref="A111:F111"/>
    <mergeCell ref="A116:G116"/>
    <mergeCell ref="B118:B119"/>
    <mergeCell ref="C118:C119"/>
    <mergeCell ref="D118:D119"/>
    <mergeCell ref="E118:E119"/>
    <mergeCell ref="A84:C84"/>
    <mergeCell ref="A90:F90"/>
    <mergeCell ref="A109:F109"/>
    <mergeCell ref="A89:D89"/>
    <mergeCell ref="A92:G92"/>
    <mergeCell ref="A93:G93"/>
    <mergeCell ref="B95:B96"/>
    <mergeCell ref="C95:C96"/>
    <mergeCell ref="D95:D96"/>
    <mergeCell ref="E95:E96"/>
    <mergeCell ref="A97:C97"/>
    <mergeCell ref="A101:C101"/>
    <mergeCell ref="A105:C105"/>
    <mergeCell ref="A30:F30"/>
    <mergeCell ref="A63:D63"/>
    <mergeCell ref="A64:D64"/>
    <mergeCell ref="A65:D65"/>
    <mergeCell ref="A72:G72"/>
    <mergeCell ref="A10:G10"/>
    <mergeCell ref="A7:C7"/>
    <mergeCell ref="A1:C1"/>
    <mergeCell ref="A3:C3"/>
    <mergeCell ref="A4:C4"/>
    <mergeCell ref="A5:C5"/>
    <mergeCell ref="A6:C6"/>
    <mergeCell ref="A9:G9"/>
    <mergeCell ref="A11:C11"/>
    <mergeCell ref="A21:C21"/>
    <mergeCell ref="A18:G18"/>
    <mergeCell ref="B19:B20"/>
    <mergeCell ref="C19:C20"/>
    <mergeCell ref="D19:D20"/>
    <mergeCell ref="E19:E20"/>
    <mergeCell ref="K142:Q142"/>
    <mergeCell ref="I138:K138"/>
    <mergeCell ref="A133:G133"/>
    <mergeCell ref="A134:G134"/>
    <mergeCell ref="A135:G135"/>
    <mergeCell ref="A136:G136"/>
    <mergeCell ref="A137:G137"/>
    <mergeCell ref="A143:G143"/>
    <mergeCell ref="A144:G144"/>
    <mergeCell ref="A145:G145"/>
    <mergeCell ref="A69:G69"/>
    <mergeCell ref="A88:F88"/>
    <mergeCell ref="A138:G138"/>
    <mergeCell ref="A139:G139"/>
    <mergeCell ref="A141:C141"/>
    <mergeCell ref="A142:C142"/>
    <mergeCell ref="A71:G71"/>
    <mergeCell ref="B74:B75"/>
    <mergeCell ref="C74:C75"/>
    <mergeCell ref="D74:D75"/>
    <mergeCell ref="E74:E75"/>
    <mergeCell ref="A76:C76"/>
    <mergeCell ref="A80:C80"/>
    <mergeCell ref="B126:B127"/>
    <mergeCell ref="C126:C127"/>
    <mergeCell ref="D126:D127"/>
    <mergeCell ref="E126:E127"/>
    <mergeCell ref="A130:F130"/>
  </mergeCells>
  <hyperlinks>
    <hyperlink ref="B150" r:id="rId1" xr:uid="{C4F25B5D-385A-44D3-84A0-58C278AA0D12}"/>
    <hyperlink ref="A142" r:id="rId2" tooltip="Producator Magnum " xr:uid="{0D64C13C-ECE2-47C7-86EE-01220E101E7B}"/>
  </hyperlinks>
  <pageMargins left="0.70866141732283505" right="0.23622047244094499" top="1.14173228346457" bottom="1.1599999999999999" header="0.196850393700787" footer="0.15748031496063"/>
  <pageSetup paperSize="9" scale="83" orientation="portrait" r:id="rId3"/>
  <headerFooter scaleWithDoc="0" alignWithMargins="0">
    <oddHeader>&amp;L&amp;G&amp;R&amp;G</oddHeader>
    <oddFooter xml:space="preserve">&amp;L
RO33404978
J40/8589/2014
RO56INGB0000999915150915
ING BANK NV&amp;CStr. Învingătorilor nr. 27, Sector 3, București
Tel :  (+4) 0314.361.836
Mobil:  (+4) 0724.204.888
             (+4) 0766.367.287&amp;REmail: 
comercial@magnumheating.ro
</oddFooter>
  </headerFooter>
  <colBreaks count="1" manualBreakCount="1">
    <brk id="7" max="1048575" man="1"/>
  </colBreaks>
  <drawing r:id="rId4"/>
  <legacyDrawingHF r:id="rId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A1FD0B-83C7-4C64-AABF-8DA5360EC8B1}">
  <sheetPr>
    <tabColor rgb="FF66FF33"/>
  </sheetPr>
  <dimension ref="A1:Z142"/>
  <sheetViews>
    <sheetView zoomScaleNormal="100" zoomScaleSheetLayoutView="100" workbookViewId="0">
      <selection activeCell="L13" sqref="L13"/>
    </sheetView>
  </sheetViews>
  <sheetFormatPr defaultRowHeight="14.4"/>
  <cols>
    <col min="1" max="1" width="4.6640625" customWidth="1"/>
    <col min="2" max="2" width="10.109375" customWidth="1"/>
    <col min="3" max="3" width="63.44140625" customWidth="1"/>
    <col min="4" max="4" width="5.109375" customWidth="1"/>
    <col min="5" max="5" width="6.109375" customWidth="1"/>
    <col min="6" max="6" width="11.44140625" customWidth="1"/>
    <col min="7" max="7" width="11.109375" customWidth="1"/>
    <col min="8" max="8" width="9.109375" style="244"/>
    <col min="9" max="9" width="8.88671875" customWidth="1"/>
    <col min="10" max="10" width="14" customWidth="1"/>
    <col min="15" max="15" width="10.5546875" customWidth="1"/>
    <col min="16" max="16" width="13.5546875" customWidth="1"/>
    <col min="17" max="17" width="16.109375" customWidth="1"/>
    <col min="18" max="18" width="8.5546875" customWidth="1"/>
    <col min="20" max="20" width="7.109375" customWidth="1"/>
    <col min="21" max="21" width="11.44140625" customWidth="1"/>
    <col min="22" max="22" width="13.5546875" customWidth="1"/>
    <col min="23" max="23" width="15.6640625" customWidth="1"/>
    <col min="24" max="24" width="14.109375" customWidth="1"/>
    <col min="25" max="25" width="14.88671875" customWidth="1"/>
  </cols>
  <sheetData>
    <row r="1" spans="1:17">
      <c r="A1" s="529" t="s">
        <v>597</v>
      </c>
      <c r="B1" s="530"/>
      <c r="C1" s="530"/>
    </row>
    <row r="2" spans="1:17">
      <c r="A2" s="1"/>
    </row>
    <row r="3" spans="1:17">
      <c r="A3" s="529" t="s">
        <v>168</v>
      </c>
      <c r="B3" s="529"/>
      <c r="C3" s="529"/>
    </row>
    <row r="4" spans="1:17">
      <c r="A4" s="529" t="s">
        <v>176</v>
      </c>
      <c r="B4" s="530"/>
      <c r="C4" s="530"/>
    </row>
    <row r="5" spans="1:17">
      <c r="A5" s="529" t="s">
        <v>91</v>
      </c>
      <c r="B5" s="530"/>
      <c r="C5" s="530"/>
    </row>
    <row r="6" spans="1:17">
      <c r="A6" s="529" t="s">
        <v>82</v>
      </c>
      <c r="B6" s="530"/>
      <c r="C6" s="530"/>
    </row>
    <row r="7" spans="1:17">
      <c r="A7" s="529" t="s">
        <v>172</v>
      </c>
      <c r="B7" s="530"/>
      <c r="C7" s="530"/>
    </row>
    <row r="9" spans="1:17" ht="18.75" customHeight="1">
      <c r="A9" s="545" t="s">
        <v>0</v>
      </c>
      <c r="B9" s="545"/>
      <c r="C9" s="545"/>
      <c r="D9" s="545"/>
      <c r="E9" s="545"/>
      <c r="F9" s="545"/>
      <c r="G9" s="545"/>
      <c r="H9" s="246"/>
      <c r="I9" s="4"/>
      <c r="J9" s="5"/>
      <c r="K9" s="5"/>
      <c r="L9" s="5"/>
      <c r="M9" s="5"/>
      <c r="N9" s="5"/>
      <c r="O9" s="5"/>
      <c r="P9" s="5"/>
      <c r="Q9" s="5"/>
    </row>
    <row r="10" spans="1:17" ht="21.75" customHeight="1">
      <c r="A10" s="524" t="s">
        <v>215</v>
      </c>
      <c r="B10" s="524"/>
      <c r="C10" s="524"/>
      <c r="D10" s="524"/>
      <c r="E10" s="524"/>
      <c r="F10" s="524"/>
      <c r="G10" s="524"/>
      <c r="H10" s="246"/>
      <c r="I10" s="4"/>
      <c r="J10" s="5"/>
      <c r="K10" s="5"/>
      <c r="L10" s="5"/>
      <c r="M10" s="5"/>
      <c r="N10" s="5"/>
      <c r="O10" s="5"/>
      <c r="P10" s="5"/>
      <c r="Q10" s="5"/>
    </row>
    <row r="11" spans="1:17" ht="18" customHeight="1">
      <c r="A11" s="524" t="s">
        <v>291</v>
      </c>
      <c r="B11" s="528"/>
      <c r="C11" s="528"/>
      <c r="D11" s="148">
        <f>'Calcul Folie+Placa Tacker'!A24</f>
        <v>0</v>
      </c>
      <c r="E11" s="154" t="s">
        <v>92</v>
      </c>
      <c r="F11" s="4"/>
      <c r="G11" s="4"/>
      <c r="H11" s="246"/>
      <c r="I11" s="4"/>
      <c r="J11" s="5"/>
      <c r="K11" s="5"/>
      <c r="L11" s="5"/>
      <c r="M11" s="5"/>
      <c r="N11" s="5"/>
      <c r="O11" s="5"/>
      <c r="P11" s="5"/>
      <c r="Q11" s="5"/>
    </row>
    <row r="12" spans="1:17" ht="27.9" customHeight="1">
      <c r="A12" s="4"/>
      <c r="B12" s="4"/>
      <c r="C12" s="4"/>
      <c r="D12" s="4"/>
      <c r="E12" s="4"/>
      <c r="F12" s="4"/>
      <c r="G12" s="4"/>
      <c r="H12" s="246"/>
      <c r="I12" s="4"/>
      <c r="J12" s="5"/>
      <c r="K12" s="5"/>
      <c r="L12" s="5"/>
      <c r="M12" s="5"/>
      <c r="N12" s="5"/>
      <c r="O12" s="5"/>
      <c r="P12" s="5"/>
      <c r="Q12" s="5"/>
    </row>
    <row r="13" spans="1:17" ht="27.9" customHeight="1">
      <c r="A13" s="4"/>
      <c r="B13" s="4"/>
      <c r="C13" s="4"/>
      <c r="D13" s="4"/>
      <c r="E13" s="4"/>
      <c r="F13" s="4"/>
      <c r="G13" s="4"/>
      <c r="H13" s="246"/>
      <c r="I13" s="4"/>
      <c r="J13" s="5"/>
      <c r="K13" s="5"/>
      <c r="L13" s="5"/>
      <c r="M13" s="5"/>
      <c r="N13" s="5"/>
      <c r="O13" s="5"/>
      <c r="P13" s="5"/>
      <c r="Q13" s="5"/>
    </row>
    <row r="14" spans="1:17">
      <c r="A14" s="4"/>
      <c r="B14" s="4"/>
      <c r="C14" s="4"/>
      <c r="D14" s="4"/>
      <c r="E14" s="4"/>
      <c r="F14" s="4"/>
      <c r="G14" s="4"/>
      <c r="H14" s="246"/>
      <c r="I14" s="4"/>
      <c r="J14" s="5"/>
      <c r="K14" s="5"/>
      <c r="L14" s="5"/>
      <c r="M14" s="5"/>
      <c r="N14" s="5"/>
      <c r="O14" s="5"/>
      <c r="P14" s="5"/>
      <c r="Q14" s="5"/>
    </row>
    <row r="15" spans="1:17" ht="32.25" customHeight="1">
      <c r="A15" s="4"/>
      <c r="B15" s="4"/>
      <c r="C15" s="4"/>
      <c r="D15" s="4"/>
      <c r="E15" s="4"/>
      <c r="F15" s="4"/>
      <c r="G15" s="4"/>
      <c r="H15" s="246"/>
      <c r="I15" s="4"/>
      <c r="J15" s="5"/>
      <c r="K15" s="5"/>
      <c r="L15" s="5"/>
      <c r="M15" s="5"/>
      <c r="N15" s="5"/>
      <c r="O15" s="5"/>
      <c r="P15" s="5"/>
      <c r="Q15" s="5"/>
    </row>
    <row r="16" spans="1:17" ht="32.25" customHeight="1">
      <c r="A16" s="4"/>
      <c r="B16" s="4"/>
      <c r="C16" s="4"/>
      <c r="D16" s="4"/>
      <c r="E16" s="4"/>
      <c r="F16" s="4"/>
      <c r="G16" s="4"/>
      <c r="H16" s="246"/>
      <c r="I16" s="4"/>
      <c r="J16" s="5"/>
      <c r="K16" s="5"/>
      <c r="L16" s="5"/>
      <c r="M16" s="5"/>
      <c r="N16" s="5"/>
      <c r="O16" s="5"/>
      <c r="P16" s="5"/>
      <c r="Q16" s="5"/>
    </row>
    <row r="17" spans="1:17" ht="21" customHeight="1">
      <c r="A17" s="4"/>
      <c r="B17" s="4"/>
      <c r="C17" s="4"/>
      <c r="D17" s="4"/>
      <c r="E17" s="4"/>
      <c r="F17" s="4"/>
      <c r="G17" s="4"/>
      <c r="H17" s="246"/>
      <c r="I17" s="4"/>
      <c r="J17" s="5"/>
      <c r="K17" s="5"/>
      <c r="L17" s="5"/>
      <c r="M17" s="5"/>
      <c r="N17" s="5"/>
      <c r="O17" s="5"/>
      <c r="P17" s="5"/>
      <c r="Q17" s="5"/>
    </row>
    <row r="18" spans="1:17" ht="21.75" customHeight="1" thickBot="1">
      <c r="A18" s="525" t="s">
        <v>140</v>
      </c>
      <c r="B18" s="525"/>
      <c r="C18" s="525"/>
      <c r="D18" s="525"/>
      <c r="E18" s="525"/>
      <c r="F18" s="525"/>
      <c r="G18" s="525"/>
      <c r="H18" s="247"/>
      <c r="I18" s="5"/>
      <c r="J18" s="5"/>
      <c r="K18" s="5"/>
      <c r="L18" s="5"/>
      <c r="M18" s="5"/>
      <c r="N18" s="5"/>
      <c r="O18" s="5"/>
      <c r="P18" s="5"/>
      <c r="Q18" s="5"/>
    </row>
    <row r="19" spans="1:17" ht="18.75" customHeight="1" thickTop="1">
      <c r="A19" s="6" t="s">
        <v>1</v>
      </c>
      <c r="B19" s="518" t="s">
        <v>3</v>
      </c>
      <c r="C19" s="518" t="s">
        <v>4</v>
      </c>
      <c r="D19" s="518" t="s">
        <v>5</v>
      </c>
      <c r="E19" s="518" t="s">
        <v>6</v>
      </c>
      <c r="F19" s="7" t="s">
        <v>7</v>
      </c>
      <c r="G19" s="8" t="s">
        <v>9</v>
      </c>
      <c r="H19" s="247"/>
      <c r="I19" s="5"/>
      <c r="J19" s="5"/>
      <c r="K19" s="5"/>
      <c r="L19" s="5"/>
      <c r="M19" s="5"/>
      <c r="N19" s="5"/>
      <c r="O19" s="5"/>
      <c r="P19" s="5"/>
      <c r="Q19" s="5"/>
    </row>
    <row r="20" spans="1:17" ht="26.25" customHeight="1" thickBot="1">
      <c r="A20" s="17" t="s">
        <v>2</v>
      </c>
      <c r="B20" s="527"/>
      <c r="C20" s="527"/>
      <c r="D20" s="527"/>
      <c r="E20" s="527"/>
      <c r="F20" s="18" t="s">
        <v>8</v>
      </c>
      <c r="G20" s="19" t="s">
        <v>8</v>
      </c>
      <c r="H20" s="247"/>
      <c r="I20" s="5"/>
      <c r="J20" s="5"/>
      <c r="K20" s="5"/>
      <c r="L20" s="5"/>
      <c r="M20" s="5"/>
      <c r="N20" s="5"/>
      <c r="O20" s="5"/>
      <c r="P20" s="5"/>
      <c r="Q20" s="5"/>
    </row>
    <row r="21" spans="1:17" ht="20.25" customHeight="1" thickTop="1" thickBot="1">
      <c r="A21" s="564" t="s">
        <v>294</v>
      </c>
      <c r="B21" s="578"/>
      <c r="C21" s="578"/>
      <c r="D21" s="146">
        <f>'Calcul Folie+Placa Tacker'!A24</f>
        <v>0</v>
      </c>
      <c r="E21" s="75"/>
      <c r="F21" s="75"/>
      <c r="G21" s="39"/>
      <c r="H21" s="248">
        <f>SUM(H22:H23)</f>
        <v>0</v>
      </c>
      <c r="I21" s="5"/>
      <c r="J21" s="5"/>
      <c r="K21" s="5"/>
      <c r="L21" s="5"/>
      <c r="M21" s="5"/>
      <c r="N21" s="5"/>
      <c r="O21" s="5"/>
      <c r="P21" s="5"/>
      <c r="Q21" s="5"/>
    </row>
    <row r="22" spans="1:17" ht="18.75" customHeight="1" thickTop="1" thickBot="1">
      <c r="A22" s="12"/>
      <c r="B22" s="2" t="s">
        <v>307</v>
      </c>
      <c r="C22" s="13" t="s">
        <v>413</v>
      </c>
      <c r="D22" s="2" t="s">
        <v>92</v>
      </c>
      <c r="E22" s="108">
        <f>'Calcul Folie+Placa Tacker'!B24</f>
        <v>0</v>
      </c>
      <c r="F22" s="285">
        <v>5</v>
      </c>
      <c r="G22" s="33">
        <f>E22*F22</f>
        <v>0</v>
      </c>
      <c r="H22" s="248">
        <f>E22</f>
        <v>0</v>
      </c>
      <c r="I22" s="5"/>
      <c r="J22" s="5"/>
      <c r="K22" s="5"/>
      <c r="L22" s="5"/>
      <c r="M22" s="5"/>
      <c r="N22" s="5"/>
      <c r="O22" s="5"/>
      <c r="P22" s="5"/>
      <c r="Q22" s="5"/>
    </row>
    <row r="23" spans="1:17" ht="18" customHeight="1" thickBot="1">
      <c r="A23" s="12"/>
      <c r="B23" s="2" t="s">
        <v>76</v>
      </c>
      <c r="C23" s="13" t="s">
        <v>308</v>
      </c>
      <c r="D23" s="2" t="s">
        <v>13</v>
      </c>
      <c r="E23" s="108">
        <f>'Calcul Folie+Placa Tacker'!E24</f>
        <v>0</v>
      </c>
      <c r="F23" s="286">
        <v>7</v>
      </c>
      <c r="G23" s="33">
        <f>E23*F23</f>
        <v>0</v>
      </c>
      <c r="H23" s="248">
        <f>E23</f>
        <v>0</v>
      </c>
      <c r="I23" s="5"/>
      <c r="J23" s="5"/>
      <c r="K23" s="5"/>
      <c r="L23" s="5"/>
      <c r="M23" s="5"/>
      <c r="N23" s="5"/>
      <c r="O23" s="5"/>
      <c r="P23" s="5"/>
      <c r="Q23" s="5"/>
    </row>
    <row r="24" spans="1:17" ht="20.100000000000001" customHeight="1" thickTop="1" thickBot="1">
      <c r="A24" s="564" t="s">
        <v>16</v>
      </c>
      <c r="B24" s="565"/>
      <c r="C24" s="565"/>
      <c r="D24" s="565"/>
      <c r="E24" s="565"/>
      <c r="F24" s="565"/>
      <c r="G24" s="39"/>
      <c r="H24" s="248">
        <f>SUM(H25:H53)</f>
        <v>0</v>
      </c>
      <c r="I24" s="5"/>
      <c r="J24" s="5"/>
      <c r="K24" s="5"/>
      <c r="L24" s="5"/>
      <c r="M24" s="5" t="s">
        <v>85</v>
      </c>
      <c r="N24" s="5"/>
      <c r="O24" s="5"/>
      <c r="P24" s="5"/>
      <c r="Q24" s="5"/>
    </row>
    <row r="25" spans="1:17" ht="18" customHeight="1" thickTop="1" thickBot="1">
      <c r="A25" s="12"/>
      <c r="B25" s="2" t="s">
        <v>78</v>
      </c>
      <c r="C25" s="13" t="s">
        <v>77</v>
      </c>
      <c r="D25" s="2" t="s">
        <v>13</v>
      </c>
      <c r="E25" s="2">
        <f>'Calcul Folie+Placa Tacker'!I24</f>
        <v>0</v>
      </c>
      <c r="F25" s="285">
        <v>2</v>
      </c>
      <c r="G25" s="33">
        <f t="shared" ref="G25:G53" si="0">E25*F25</f>
        <v>0</v>
      </c>
      <c r="H25" s="248">
        <f t="shared" ref="H25:H53" si="1">E25</f>
        <v>0</v>
      </c>
      <c r="I25" s="5"/>
      <c r="J25" s="5"/>
      <c r="K25" s="5"/>
      <c r="L25" s="5"/>
      <c r="M25" s="5"/>
      <c r="N25" s="5"/>
      <c r="O25" s="5"/>
      <c r="P25" s="5"/>
      <c r="Q25" s="5"/>
    </row>
    <row r="26" spans="1:17" ht="18" customHeight="1" thickBot="1">
      <c r="A26" s="12"/>
      <c r="B26" s="2" t="s">
        <v>109</v>
      </c>
      <c r="C26" s="13" t="s">
        <v>110</v>
      </c>
      <c r="D26" s="3" t="s">
        <v>14</v>
      </c>
      <c r="E26" s="2">
        <f>'Calcul Folie+Placa Tacker'!G24</f>
        <v>0</v>
      </c>
      <c r="F26" s="286">
        <v>11</v>
      </c>
      <c r="G26" s="33">
        <f t="shared" si="0"/>
        <v>0</v>
      </c>
      <c r="H26" s="248">
        <f t="shared" si="1"/>
        <v>0</v>
      </c>
      <c r="I26" s="5"/>
      <c r="J26" s="5"/>
      <c r="K26" s="5"/>
      <c r="L26" s="5"/>
      <c r="M26" s="5"/>
      <c r="N26" s="5"/>
      <c r="O26" s="5"/>
      <c r="P26" s="5"/>
      <c r="Q26" s="5"/>
    </row>
    <row r="27" spans="1:17" ht="18" customHeight="1" thickBot="1">
      <c r="A27" s="12"/>
      <c r="B27" s="29" t="s">
        <v>115</v>
      </c>
      <c r="C27" s="31" t="s">
        <v>117</v>
      </c>
      <c r="D27" s="30" t="s">
        <v>11</v>
      </c>
      <c r="E27" s="160">
        <f>'Calcul Folie+Placa Tacker'!F22</f>
        <v>0</v>
      </c>
      <c r="F27" s="286">
        <v>21</v>
      </c>
      <c r="G27" s="33">
        <f t="shared" si="0"/>
        <v>0</v>
      </c>
      <c r="H27" s="248">
        <f t="shared" si="1"/>
        <v>0</v>
      </c>
      <c r="I27" s="5"/>
      <c r="J27" s="5"/>
      <c r="K27" s="5"/>
      <c r="L27" s="5"/>
      <c r="M27" s="5"/>
      <c r="N27" s="5"/>
      <c r="O27" s="5"/>
      <c r="P27" s="5"/>
      <c r="Q27" s="5"/>
    </row>
    <row r="28" spans="1:17" ht="18" customHeight="1" thickBot="1">
      <c r="A28" s="12"/>
      <c r="B28" s="2" t="s">
        <v>69</v>
      </c>
      <c r="C28" s="13" t="s">
        <v>72</v>
      </c>
      <c r="D28" s="28" t="s">
        <v>14</v>
      </c>
      <c r="E28" s="20">
        <f>IF('Calcul Folie+Placa Tacker'!C24- 'Sistem Placa Tacker '!E30*600- 'Sistem Placa Tacker '!E29*240&gt;=120, INT(('Calcul Folie+Placa Tacker'!C24- 'Sistem Placa Tacker '!E30*600-'Sistem Placa Tacker '!E29*240)/120),0)</f>
        <v>0</v>
      </c>
      <c r="F28" s="286">
        <v>53</v>
      </c>
      <c r="G28" s="33">
        <f t="shared" si="0"/>
        <v>0</v>
      </c>
      <c r="H28" s="248">
        <f t="shared" si="1"/>
        <v>0</v>
      </c>
      <c r="I28" s="5"/>
      <c r="J28" s="5"/>
      <c r="K28" s="5"/>
      <c r="L28" s="5"/>
      <c r="M28" s="5"/>
      <c r="N28" s="5"/>
      <c r="O28" s="5"/>
      <c r="P28" s="5"/>
      <c r="Q28" s="5"/>
    </row>
    <row r="29" spans="1:17" ht="18" customHeight="1" thickBot="1">
      <c r="A29" s="12"/>
      <c r="B29" s="2" t="s">
        <v>70</v>
      </c>
      <c r="C29" s="13" t="s">
        <v>73</v>
      </c>
      <c r="D29" s="28" t="s">
        <v>14</v>
      </c>
      <c r="E29" s="20">
        <f>IF('Calcul Folie+Placa Tacker'!C24-'Sistem Placa Tacker '!E30*600&gt;=240, INT(('Calcul Folie+Placa Tacker'!C24-'Sistem Placa Tacker '!E30*600)/240),0)</f>
        <v>0</v>
      </c>
      <c r="F29" s="286">
        <v>71</v>
      </c>
      <c r="G29" s="33">
        <f t="shared" si="0"/>
        <v>0</v>
      </c>
      <c r="H29" s="248">
        <f t="shared" si="1"/>
        <v>0</v>
      </c>
      <c r="I29" s="5"/>
      <c r="J29" s="5"/>
      <c r="K29" s="5"/>
      <c r="L29" s="5"/>
      <c r="M29" s="5"/>
      <c r="N29" s="5"/>
      <c r="O29" s="5"/>
      <c r="P29" s="5"/>
      <c r="Q29" s="5"/>
    </row>
    <row r="30" spans="1:17" ht="18" customHeight="1" thickBot="1">
      <c r="A30" s="12"/>
      <c r="B30" s="2" t="s">
        <v>71</v>
      </c>
      <c r="C30" s="13" t="s">
        <v>74</v>
      </c>
      <c r="D30" s="20" t="s">
        <v>14</v>
      </c>
      <c r="E30" s="20">
        <f>IF('Calcul Folie+Placa Tacker'!C24&gt;=600, INT('Calcul Folie+Placa Tacker'!C24/600),0)</f>
        <v>0</v>
      </c>
      <c r="F30" s="286">
        <v>354</v>
      </c>
      <c r="G30" s="33">
        <f t="shared" si="0"/>
        <v>0</v>
      </c>
      <c r="H30" s="248">
        <f t="shared" si="1"/>
        <v>0</v>
      </c>
      <c r="I30" s="5"/>
      <c r="J30" s="5"/>
      <c r="K30" s="5"/>
      <c r="L30" s="5"/>
      <c r="M30" s="5"/>
      <c r="N30" s="5"/>
      <c r="O30" s="5"/>
      <c r="P30" s="5"/>
      <c r="Q30" s="5"/>
    </row>
    <row r="31" spans="1:17" ht="50.1" customHeight="1" thickBot="1">
      <c r="A31" s="12"/>
      <c r="B31" s="2" t="s">
        <v>35</v>
      </c>
      <c r="C31" s="13" t="s">
        <v>118</v>
      </c>
      <c r="D31" s="2" t="s">
        <v>11</v>
      </c>
      <c r="E31" s="2">
        <f>IF(AND('Calcul Folie+Placa Tacker'!$J$24=2, 'Calcul Folie+Placa Tacker'!$U$24=2, 'Calcul Folie+Placa Tacker'!$AF$24=2), 3,
IF(OR(AND('Calcul Folie+Placa Tacker'!$J$24=2, 'Calcul Folie+Placa Tacker'!$U$24=2),
      AND('Calcul Folie+Placa Tacker'!$J$24=2, 'Calcul Folie+Placa Tacker'!$AF$24=2),
      AND('Calcul Folie+Placa Tacker'!$U$24=2, 'Calcul Folie+Placa Tacker'!$AF$24=2)), 2,
IF(OR('Calcul Folie+Placa Tacker'!$J$24=2, 'Calcul Folie+Placa Tacker'!$U$24=2, 'Calcul Folie+Placa Tacker'!$AF$24=2), 1, 0)))</f>
        <v>0</v>
      </c>
      <c r="F31" s="286">
        <v>354</v>
      </c>
      <c r="G31" s="33">
        <f t="shared" si="0"/>
        <v>0</v>
      </c>
      <c r="H31" s="248">
        <f t="shared" si="1"/>
        <v>0</v>
      </c>
      <c r="I31" s="5"/>
      <c r="J31" s="5"/>
      <c r="K31" s="5"/>
      <c r="L31" s="5"/>
      <c r="M31" s="5"/>
      <c r="N31" s="5"/>
      <c r="O31" s="5"/>
      <c r="P31" s="5"/>
      <c r="Q31" s="5"/>
    </row>
    <row r="32" spans="1:17" ht="50.1" customHeight="1" thickBot="1">
      <c r="A32" s="12"/>
      <c r="B32" s="2" t="s">
        <v>36</v>
      </c>
      <c r="C32" s="13" t="s">
        <v>119</v>
      </c>
      <c r="D32" s="2" t="s">
        <v>11</v>
      </c>
      <c r="E32" s="2">
        <f>IF(AND('Calcul Folie+Placa Tacker'!$J$24=3, 'Calcul Folie+Placa Tacker'!$U$24=3, 'Calcul Folie+Placa Tacker'!$AF$24=3), 3,
IF(OR(AND('Calcul Folie+Placa Tacker'!$J$24=3, 'Calcul Folie+Placa Tacker'!$U$24=3),
      AND('Calcul Folie+Placa Tacker'!$J$24=3, 'Calcul Folie+Placa Tacker'!$AF$24=3),
      AND('Calcul Folie+Placa Tacker'!$U$24=3, 'Calcul Folie+Placa Tacker'!$AF$24=3)), 2,
IF(OR('Calcul Folie+Placa Tacker'!$J$24=3, 'Calcul Folie+Placa Tacker'!$U$24=3, 'Calcul Folie+Placa Tacker'!$AF$24=3), 1, 0)))</f>
        <v>0</v>
      </c>
      <c r="F32" s="286">
        <v>120</v>
      </c>
      <c r="G32" s="33">
        <f t="shared" si="0"/>
        <v>0</v>
      </c>
      <c r="H32" s="248">
        <f t="shared" si="1"/>
        <v>0</v>
      </c>
      <c r="I32" s="5"/>
      <c r="J32" s="5"/>
      <c r="K32" s="5"/>
      <c r="L32" s="5"/>
      <c r="M32" s="5"/>
      <c r="N32" s="5"/>
      <c r="O32" s="5"/>
      <c r="P32" s="5"/>
      <c r="Q32" s="5"/>
    </row>
    <row r="33" spans="1:17" ht="50.1" customHeight="1" thickBot="1">
      <c r="A33" s="12"/>
      <c r="B33" s="2" t="s">
        <v>37</v>
      </c>
      <c r="C33" s="13" t="s">
        <v>120</v>
      </c>
      <c r="D33" s="2" t="s">
        <v>11</v>
      </c>
      <c r="E33" s="2">
        <f>IF(AND('Calcul Folie+Placa Tacker'!$J$24=4, 'Calcul Folie+Placa Tacker'!$U$24=4, 'Calcul Folie+Placa Tacker'!$AF$24=4), 3,
IF(OR(AND('Calcul Folie+Placa Tacker'!$J$24=4, 'Calcul Folie+Placa Tacker'!$U$24=4),
      AND('Calcul Folie+Placa Tacker'!$J$24=4, 'Calcul Folie+Placa Tacker'!$AF$24=4),
      AND('Calcul Folie+Placa Tacker'!$U$24=4, 'Calcul Folie+Placa Tacker'!$AF$24=4)), 2,
IF(OR('Calcul Folie+Placa Tacker'!$J$24=4, 'Calcul Folie+Placa Tacker'!$U$24=4, 'Calcul Folie+Placa Tacker'!$AF$24=4), 1, 0)))</f>
        <v>0</v>
      </c>
      <c r="F33" s="286">
        <v>136</v>
      </c>
      <c r="G33" s="33">
        <f t="shared" si="0"/>
        <v>0</v>
      </c>
      <c r="H33" s="248">
        <f t="shared" si="1"/>
        <v>0</v>
      </c>
      <c r="I33" s="5"/>
      <c r="J33" s="5"/>
      <c r="K33" s="5"/>
      <c r="L33" s="5"/>
      <c r="M33" s="5"/>
      <c r="N33" s="5"/>
      <c r="O33" s="5"/>
      <c r="P33" s="5"/>
      <c r="Q33" s="5"/>
    </row>
    <row r="34" spans="1:17" ht="50.1" customHeight="1" thickBot="1">
      <c r="A34" s="12"/>
      <c r="B34" s="2" t="s">
        <v>23</v>
      </c>
      <c r="C34" s="13" t="s">
        <v>121</v>
      </c>
      <c r="D34" s="2" t="s">
        <v>11</v>
      </c>
      <c r="E34" s="2">
        <f>IF(AND('Calcul Folie+Placa Tacker'!$J$24=5, 'Calcul Folie+Placa Tacker'!$U$24=5, 'Calcul Folie+Placa Tacker'!$AF$24=5), 3,
IF(OR(AND('Calcul Folie+Placa Tacker'!$J$24=5, 'Calcul Folie+Placa Tacker'!$U$24=5),
      AND('Calcul Folie+Placa Tacker'!$J$24=5, 'Calcul Folie+Placa Tacker'!$AF$24=5),
      AND('Calcul Folie+Placa Tacker'!$U$24=5, 'Calcul Folie+Placa Tacker'!$AF$24=5)), 2,
IF(OR('Calcul Folie+Placa Tacker'!$J$24=5, 'Calcul Folie+Placa Tacker'!$U$24=5, 'Calcul Folie+Placa Tacker'!$AF$24=5), 1, 0)))</f>
        <v>0</v>
      </c>
      <c r="F34" s="286">
        <v>151</v>
      </c>
      <c r="G34" s="33">
        <f t="shared" si="0"/>
        <v>0</v>
      </c>
      <c r="H34" s="248">
        <f t="shared" si="1"/>
        <v>0</v>
      </c>
      <c r="I34" s="5"/>
      <c r="J34" s="5"/>
      <c r="K34" s="5"/>
      <c r="L34" s="5"/>
      <c r="M34" s="5"/>
      <c r="N34" s="5"/>
      <c r="O34" s="5"/>
      <c r="P34" s="5"/>
      <c r="Q34" s="5"/>
    </row>
    <row r="35" spans="1:17" ht="50.1" customHeight="1" thickBot="1">
      <c r="A35" s="12"/>
      <c r="B35" s="2" t="s">
        <v>22</v>
      </c>
      <c r="C35" s="13" t="s">
        <v>409</v>
      </c>
      <c r="D35" s="2" t="s">
        <v>11</v>
      </c>
      <c r="E35" s="2">
        <f>IF(AND('Calcul Folie+Placa Tacker'!$J$24=6, 'Calcul Folie+Placa Tacker'!$U$24=6, 'Calcul Folie+Placa Tacker'!$AF$24=6), 3,
IF(OR(AND('Calcul Folie+Placa Tacker'!$J$24=6, 'Calcul Folie+Placa Tacker'!$U$24=6),
      AND('Calcul Folie+Placa Tacker'!$J$24=6, 'Calcul Folie+Placa Tacker'!$AF$24=6),
      AND('Calcul Folie+Placa Tacker'!$U$24=6, 'Calcul Folie+Placa Tacker'!$AF$24=6)), 2,
IF(OR('Calcul Folie+Placa Tacker'!$J$24=6, 'Calcul Folie+Placa Tacker'!$U$24=6, 'Calcul Folie+Placa Tacker'!$AF$24=6), 1, 0)))</f>
        <v>0</v>
      </c>
      <c r="F35" s="286">
        <v>168</v>
      </c>
      <c r="G35" s="33">
        <f t="shared" si="0"/>
        <v>0</v>
      </c>
      <c r="H35" s="248">
        <f t="shared" si="1"/>
        <v>0</v>
      </c>
      <c r="I35" s="5"/>
      <c r="J35" s="5"/>
      <c r="K35" s="5"/>
      <c r="L35" s="5"/>
      <c r="M35" s="5"/>
      <c r="N35" s="5"/>
      <c r="O35" s="5"/>
      <c r="P35" s="5"/>
      <c r="Q35" s="5"/>
    </row>
    <row r="36" spans="1:17" ht="50.1" customHeight="1" thickBot="1">
      <c r="A36" s="12"/>
      <c r="B36" s="2" t="s">
        <v>21</v>
      </c>
      <c r="C36" s="13" t="s">
        <v>304</v>
      </c>
      <c r="D36" s="2" t="s">
        <v>11</v>
      </c>
      <c r="E36" s="2">
        <f>IF(AND('Calcul Folie+Placa Tacker'!$J$24=7, 'Calcul Folie+Placa Tacker'!$U$24=7, 'Calcul Folie+Placa Tacker'!$AF$24=7), 3,
IF(OR(AND('Calcul Folie+Placa Tacker'!$J$24=7, 'Calcul Folie+Placa Tacker'!$U$24=7),
      AND('Calcul Folie+Placa Tacker'!$J$24=7, 'Calcul Folie+Placa Tacker'!$AF$24=7),
      AND('Calcul Folie+Placa Tacker'!$U$24=7, 'Calcul Folie+Placa Tacker'!$AF$24=7)), 2,
IF(OR('Calcul Folie+Placa Tacker'!$J$24=7, 'Calcul Folie+Placa Tacker'!$U$24=7, 'Calcul Folie+Placa Tacker'!$AF$24=7), 1, 0)))</f>
        <v>0</v>
      </c>
      <c r="F36" s="286">
        <v>184</v>
      </c>
      <c r="G36" s="33">
        <f t="shared" si="0"/>
        <v>0</v>
      </c>
      <c r="H36" s="248">
        <f t="shared" si="1"/>
        <v>0</v>
      </c>
      <c r="I36" s="5"/>
      <c r="J36" s="5"/>
      <c r="K36" s="5"/>
      <c r="L36" s="5"/>
      <c r="M36" s="5"/>
      <c r="N36" s="5"/>
      <c r="O36" s="5"/>
      <c r="P36" s="5"/>
      <c r="Q36" s="5"/>
    </row>
    <row r="37" spans="1:17" ht="50.1" customHeight="1" thickBot="1">
      <c r="A37" s="12"/>
      <c r="B37" s="2" t="s">
        <v>38</v>
      </c>
      <c r="C37" s="13" t="s">
        <v>167</v>
      </c>
      <c r="D37" s="2" t="s">
        <v>11</v>
      </c>
      <c r="E37" s="2">
        <f>IF(AND('Calcul Folie+Placa Tacker'!$J$24=8, 'Calcul Folie+Placa Tacker'!$U$24=8, 'Calcul Folie+Placa Tacker'!$AF$24=8), 3,
IF(OR(AND('Calcul Folie+Placa Tacker'!$J$24=8, 'Calcul Folie+Placa Tacker'!$U$24=8),
      AND('Calcul Folie+Placa Tacker'!$J$24=8, 'Calcul Folie+Placa Tacker'!$AF$24=8),
      AND('Calcul Folie+Placa Tacker'!$U$24=8, 'Calcul Folie+Placa Tacker'!$AF$24=8)), 2,
IF(OR('Calcul Folie+Placa Tacker'!$J$24=8, 'Calcul Folie+Placa Tacker'!$U$24=8, 'Calcul Folie+Placa Tacker'!$AF$24=8), 1, 0)))</f>
        <v>0</v>
      </c>
      <c r="F37" s="286">
        <v>200</v>
      </c>
      <c r="G37" s="33">
        <f t="shared" si="0"/>
        <v>0</v>
      </c>
      <c r="H37" s="248">
        <f t="shared" si="1"/>
        <v>0</v>
      </c>
      <c r="I37" s="5"/>
      <c r="J37" s="5"/>
      <c r="K37" s="5"/>
      <c r="L37" s="5"/>
      <c r="M37" s="5"/>
      <c r="N37" s="5"/>
      <c r="O37" s="5"/>
      <c r="P37" s="5"/>
      <c r="Q37" s="5"/>
    </row>
    <row r="38" spans="1:17" ht="50.1" customHeight="1" thickBot="1">
      <c r="A38" s="12"/>
      <c r="B38" s="2" t="s">
        <v>39</v>
      </c>
      <c r="C38" s="13" t="s">
        <v>173</v>
      </c>
      <c r="D38" s="2" t="s">
        <v>11</v>
      </c>
      <c r="E38" s="2">
        <f>IF(AND('Calcul Folie+Placa Tacker'!$J$24=9, 'Calcul Folie+Placa Tacker'!$U$24=9, 'Calcul Folie+Placa Tacker'!$AF$24=9), 3,
IF(OR(AND('Calcul Folie+Placa Tacker'!$J$24=9, 'Calcul Folie+Placa Tacker'!$U$24=9),
      AND('Calcul Folie+Placa Tacker'!$J$24=9, 'Calcul Folie+Placa Tacker'!$AF$24=9),
      AND('Calcul Folie+Placa Tacker'!$U$24=9, 'Calcul Folie+Placa Tacker'!$AF$24=9)), 2,
IF(OR('Calcul Folie+Placa Tacker'!$J$24=9, 'Calcul Folie+Placa Tacker'!$U$24=9, 'Calcul Folie+Placa Tacker'!$AF$24=9), 1, 0)))</f>
        <v>0</v>
      </c>
      <c r="F38" s="286">
        <v>215</v>
      </c>
      <c r="G38" s="33">
        <f t="shared" si="0"/>
        <v>0</v>
      </c>
      <c r="H38" s="248">
        <f t="shared" si="1"/>
        <v>0</v>
      </c>
      <c r="I38" s="5"/>
      <c r="J38" s="5"/>
      <c r="K38" s="5"/>
      <c r="L38" s="5"/>
      <c r="M38" s="5"/>
      <c r="N38" s="5"/>
      <c r="O38" s="5"/>
      <c r="P38" s="5"/>
      <c r="Q38" s="5"/>
    </row>
    <row r="39" spans="1:17" ht="50.1" customHeight="1" thickBot="1">
      <c r="A39" s="12"/>
      <c r="B39" s="2" t="s">
        <v>40</v>
      </c>
      <c r="C39" s="13" t="s">
        <v>122</v>
      </c>
      <c r="D39" s="2" t="s">
        <v>11</v>
      </c>
      <c r="E39" s="2">
        <f>IF(AND('Calcul Folie+Placa Tacker'!$J$24=10, 'Calcul Folie+Placa Tacker'!$U$24=10, 'Calcul Folie+Placa Tacker'!$AF$24=10), 3,
IF(OR(AND('Calcul Folie+Placa Tacker'!$J$24=10, 'Calcul Folie+Placa Tacker'!$U$24=10),
      AND('Calcul Folie+Placa Tacker'!$J$24=10, 'Calcul Folie+Placa Tacker'!$AF$24=10),
      AND('Calcul Folie+Placa Tacker'!$U$24=10, 'Calcul Folie+Placa Tacker'!$AF$24=10)), 2,
IF(OR('Calcul Folie+Placa Tacker'!$J$24=10, 'Calcul Folie+Placa Tacker'!$U$24=10, 'Calcul Folie+Placa Tacker'!$AF$24=10), 1, 0)))</f>
        <v>0</v>
      </c>
      <c r="F39" s="286">
        <v>233</v>
      </c>
      <c r="G39" s="33">
        <f t="shared" si="0"/>
        <v>0</v>
      </c>
      <c r="H39" s="248">
        <f t="shared" si="1"/>
        <v>0</v>
      </c>
      <c r="I39" s="5"/>
      <c r="J39" s="5"/>
      <c r="K39" s="5"/>
      <c r="L39" s="5"/>
      <c r="M39" s="5"/>
      <c r="N39" s="5"/>
      <c r="O39" s="5"/>
      <c r="P39" s="5"/>
      <c r="Q39" s="5"/>
    </row>
    <row r="40" spans="1:17" ht="50.1" customHeight="1" thickBot="1">
      <c r="A40" s="12"/>
      <c r="B40" s="2" t="s">
        <v>41</v>
      </c>
      <c r="C40" s="13" t="s">
        <v>123</v>
      </c>
      <c r="D40" s="2" t="s">
        <v>11</v>
      </c>
      <c r="E40" s="2">
        <f>IF(AND('Calcul Folie+Placa Tacker'!$J$24=11, 'Calcul Folie+Placa Tacker'!$U$24=11, 'Calcul Folie+Placa Tacker'!$AF$24=11), 3,
IF(OR(AND('Calcul Folie+Placa Tacker'!$J$24=11, 'Calcul Folie+Placa Tacker'!$U$24=11),
      AND('Calcul Folie+Placa Tacker'!$J$24=11, 'Calcul Folie+Placa Tacker'!$AF$24=11),
      AND('Calcul Folie+Placa Tacker'!$U$24=11, 'Calcul Folie+Placa Tacker'!$AF$24=11)), 2,
IF(OR('Calcul Folie+Placa Tacker'!$J$24=11, 'Calcul Folie+Placa Tacker'!$U$24=11, 'Calcul Folie+Placa Tacker'!$AF$24=11), 1, 0)))</f>
        <v>0</v>
      </c>
      <c r="F40" s="286">
        <v>247</v>
      </c>
      <c r="G40" s="33">
        <f t="shared" si="0"/>
        <v>0</v>
      </c>
      <c r="H40" s="248">
        <f t="shared" si="1"/>
        <v>0</v>
      </c>
      <c r="I40" s="5"/>
      <c r="J40" s="5"/>
      <c r="K40" s="5"/>
      <c r="L40" s="5"/>
      <c r="M40" s="5"/>
      <c r="N40" s="5"/>
      <c r="O40" s="5"/>
      <c r="P40" s="5"/>
      <c r="Q40" s="5"/>
    </row>
    <row r="41" spans="1:17" ht="50.1" customHeight="1" thickBot="1">
      <c r="A41" s="12"/>
      <c r="B41" s="2" t="s">
        <v>42</v>
      </c>
      <c r="C41" s="13" t="s">
        <v>124</v>
      </c>
      <c r="D41" s="2" t="s">
        <v>11</v>
      </c>
      <c r="E41" s="2">
        <f>IF(AND('Calcul Folie+Placa Tacker'!$J$24=12, 'Calcul Folie+Placa Tacker'!$U$24=12, 'Calcul Folie+Placa Tacker'!$AF$24=12), 3,
IF(OR(AND('Calcul Folie+Placa Tacker'!$J$24=12, 'Calcul Folie+Placa Tacker'!$U$24=12),
      AND('Calcul Folie+Placa Tacker'!$J$24=12, 'Calcul Folie+Placa Tacker'!$AF$24=12),
      AND('Calcul Folie+Placa Tacker'!$U$24=12, 'Calcul Folie+Placa Tacker'!$AF$24=12)), 2,
IF(OR('Calcul Folie+Placa Tacker'!$J$24=12, 'Calcul Folie+Placa Tacker'!$U$24=12, 'Calcul Folie+Placa Tacker'!$AF$24=12), 1, 0)))</f>
        <v>0</v>
      </c>
      <c r="F41" s="286">
        <v>265</v>
      </c>
      <c r="G41" s="33">
        <f t="shared" si="0"/>
        <v>0</v>
      </c>
      <c r="H41" s="248">
        <f t="shared" si="1"/>
        <v>0</v>
      </c>
      <c r="I41" s="5"/>
      <c r="J41" s="5"/>
      <c r="K41" s="5"/>
      <c r="L41" s="5"/>
      <c r="M41" s="5"/>
      <c r="N41" s="5"/>
      <c r="O41" s="5"/>
      <c r="P41" s="5"/>
      <c r="Q41" s="5"/>
    </row>
    <row r="42" spans="1:17" ht="50.1" customHeight="1" thickBot="1">
      <c r="A42" s="12"/>
      <c r="B42" s="2" t="s">
        <v>43</v>
      </c>
      <c r="C42" s="13" t="s">
        <v>125</v>
      </c>
      <c r="D42" s="2" t="s">
        <v>11</v>
      </c>
      <c r="E42" s="2">
        <f>IF(AND('Calcul Folie+Placa Tacker'!$J$24=13, 'Calcul Folie+Placa Tacker'!$U$24=13, 'Calcul Folie+Placa Tacker'!$AF$24=13), 3,
IF(OR(AND('Calcul Folie+Placa Tacker'!$J$24=13, 'Calcul Folie+Placa Tacker'!$U$24=13),
      AND('Calcul Folie+Placa Tacker'!$J$24=13, 'Calcul Folie+Placa Tacker'!$AF$24=13),
      AND('Calcul Folie+Placa Tacker'!$U$24=13, 'Calcul Folie+Placa Tacker'!$AF$24=13)), 2,
IF(OR('Calcul Folie+Placa Tacker'!$J$24=13, 'Calcul Folie+Placa Tacker'!$U$24=13, 'Calcul Folie+Placa Tacker'!$AF$24=13), 1, 0)))</f>
        <v>0</v>
      </c>
      <c r="F42" s="286">
        <v>283</v>
      </c>
      <c r="G42" s="33">
        <f t="shared" si="0"/>
        <v>0</v>
      </c>
      <c r="H42" s="248">
        <f t="shared" si="1"/>
        <v>0</v>
      </c>
      <c r="I42" s="5"/>
      <c r="J42" s="5"/>
      <c r="K42" s="5"/>
      <c r="L42" s="5"/>
      <c r="M42" s="5"/>
      <c r="N42" s="5"/>
      <c r="O42" s="5"/>
      <c r="P42" s="5"/>
      <c r="Q42" s="5"/>
    </row>
    <row r="43" spans="1:17" ht="50.1" customHeight="1" thickBot="1">
      <c r="A43" s="12"/>
      <c r="B43" s="2" t="s">
        <v>44</v>
      </c>
      <c r="C43" s="13" t="s">
        <v>126</v>
      </c>
      <c r="D43" s="2" t="s">
        <v>11</v>
      </c>
      <c r="E43" s="2">
        <f>IF(AND('Calcul Folie+Placa Tacker'!$J$24=14, 'Calcul Folie+Placa Tacker'!$U$24=14, 'Calcul Folie+Placa Tacker'!$AF$24=14), 3,
IF(OR(AND('Calcul Folie+Placa Tacker'!$J$24=14, 'Calcul Folie+Placa Tacker'!$U$24=14),
      AND('Calcul Folie+Placa Tacker'!$J$24=14, 'Calcul Folie+Placa Tacker'!$AF$24=14),
      AND('Calcul Folie+Placa Tacker'!$U$24=14, 'Calcul Folie+Placa Tacker'!$AF$24=14)), 2,
IF(OR('Calcul Folie+Placa Tacker'!$J$24=14, 'Calcul Folie+Placa Tacker'!$U$24=14, 'Calcul Folie+Placa Tacker'!$AF$24=14), 1, 0)))</f>
        <v>0</v>
      </c>
      <c r="F43" s="286">
        <v>298</v>
      </c>
      <c r="G43" s="33">
        <f t="shared" si="0"/>
        <v>0</v>
      </c>
      <c r="H43" s="248">
        <f t="shared" si="1"/>
        <v>0</v>
      </c>
      <c r="I43" s="5"/>
      <c r="J43" s="5"/>
      <c r="K43" s="5"/>
      <c r="L43" s="5"/>
      <c r="M43" s="5"/>
      <c r="N43" s="5"/>
      <c r="O43" s="5"/>
      <c r="P43" s="5"/>
      <c r="Q43" s="5"/>
    </row>
    <row r="44" spans="1:17" ht="50.1" customHeight="1" thickBot="1">
      <c r="A44" s="12"/>
      <c r="B44" s="2" t="s">
        <v>45</v>
      </c>
      <c r="C44" s="13" t="s">
        <v>127</v>
      </c>
      <c r="D44" s="2" t="s">
        <v>11</v>
      </c>
      <c r="E44" s="2">
        <f>IF(AND('Calcul Folie+Placa Tacker'!$J$24=15, 'Calcul Folie+Placa Tacker'!$U$24=15, 'Calcul Folie+Placa Tacker'!$AF$24=15), 3,
IF(OR(AND('Calcul Folie+Placa Tacker'!$J$24=15, 'Calcul Folie+Placa Tacker'!$U$24=15),
      AND('Calcul Folie+Placa Tacker'!$J$24=15, 'Calcul Folie+Placa Tacker'!$AF$24=15),
      AND('Calcul Folie+Placa Tacker'!$U$24=15, 'Calcul Folie+Placa Tacker'!$AF$24=15)), 2,
IF(OR('Calcul Folie+Placa Tacker'!$J$24=15, 'Calcul Folie+Placa Tacker'!$U$24=15, 'Calcul Folie+Placa Tacker'!$AF$24=15), 1, 0)))</f>
        <v>0</v>
      </c>
      <c r="F44" s="286">
        <v>314</v>
      </c>
      <c r="G44" s="33">
        <f t="shared" si="0"/>
        <v>0</v>
      </c>
      <c r="H44" s="248">
        <f t="shared" si="1"/>
        <v>0</v>
      </c>
      <c r="I44" s="5"/>
      <c r="J44" s="5"/>
      <c r="K44" s="5"/>
      <c r="L44" s="5"/>
      <c r="M44" s="5"/>
      <c r="N44" s="5"/>
      <c r="O44" s="5"/>
      <c r="P44" s="5"/>
      <c r="Q44" s="5"/>
    </row>
    <row r="45" spans="1:17" ht="18" customHeight="1" thickBot="1">
      <c r="A45" s="12"/>
      <c r="B45" s="327" t="s">
        <v>129</v>
      </c>
      <c r="C45" s="328" t="s">
        <v>420</v>
      </c>
      <c r="D45" s="2" t="s">
        <v>11</v>
      </c>
      <c r="E45" s="28"/>
      <c r="F45" s="286">
        <v>54</v>
      </c>
      <c r="G45" s="33">
        <f t="shared" si="0"/>
        <v>0</v>
      </c>
      <c r="H45" s="248">
        <f t="shared" si="1"/>
        <v>0</v>
      </c>
      <c r="I45" s="247"/>
      <c r="J45" s="5"/>
      <c r="K45" s="5"/>
      <c r="L45" s="5"/>
      <c r="M45" s="5"/>
      <c r="N45" s="5"/>
      <c r="O45" s="5"/>
      <c r="P45" s="5"/>
      <c r="Q45" s="5"/>
    </row>
    <row r="46" spans="1:17" ht="18" customHeight="1" thickBot="1">
      <c r="A46" s="12"/>
      <c r="B46" s="327" t="s">
        <v>418</v>
      </c>
      <c r="C46" s="328" t="s">
        <v>419</v>
      </c>
      <c r="D46" s="2" t="s">
        <v>11</v>
      </c>
      <c r="E46" s="297"/>
      <c r="F46" s="286">
        <v>58</v>
      </c>
      <c r="G46" s="33">
        <f t="shared" si="0"/>
        <v>0</v>
      </c>
      <c r="H46" s="248">
        <f t="shared" si="1"/>
        <v>0</v>
      </c>
      <c r="I46" s="247"/>
      <c r="J46" s="5"/>
      <c r="K46" s="5"/>
      <c r="L46" s="5"/>
      <c r="M46" s="5"/>
      <c r="N46" s="5"/>
      <c r="O46" s="5"/>
      <c r="P46" s="5"/>
      <c r="Q46" s="5"/>
    </row>
    <row r="47" spans="1:17" ht="18" customHeight="1" thickBot="1">
      <c r="A47" s="12"/>
      <c r="B47" s="260" t="s">
        <v>421</v>
      </c>
      <c r="C47" s="332" t="s">
        <v>422</v>
      </c>
      <c r="D47" s="2" t="s">
        <v>11</v>
      </c>
      <c r="E47" s="297">
        <f>--OR('Calcul Folie+Placa Tacker'!$J$24=2,'Calcul Folie+Placa Tacker'!$J$24=3)
 +--OR('Calcul Folie+Placa Tacker'!$U$24=2,'Calcul Folie+Placa Tacker'!$U$24=3)
 +--OR('Calcul Folie+Placa Tacker'!$AF$24=2,'Calcul Folie+Placa Tacker'!$AF$24=3)</f>
        <v>0</v>
      </c>
      <c r="F47" s="286">
        <v>76</v>
      </c>
      <c r="G47" s="33">
        <f t="shared" si="0"/>
        <v>0</v>
      </c>
      <c r="H47" s="248">
        <f t="shared" si="1"/>
        <v>0</v>
      </c>
      <c r="I47" s="247"/>
      <c r="J47" s="5"/>
      <c r="K47" s="5"/>
      <c r="L47" s="5"/>
      <c r="M47" s="5"/>
      <c r="N47" s="5"/>
      <c r="O47" s="5"/>
      <c r="P47" s="5"/>
      <c r="Q47" s="5"/>
    </row>
    <row r="48" spans="1:17" ht="18" customHeight="1" thickBot="1">
      <c r="A48" s="12"/>
      <c r="B48" s="260" t="s">
        <v>412</v>
      </c>
      <c r="C48" s="332" t="s">
        <v>423</v>
      </c>
      <c r="D48" s="2" t="s">
        <v>11</v>
      </c>
      <c r="E48" s="297" cm="1">
        <f t="array" ref="E48">--OR('Calcul Folie+Placa Tacker'!$J$24={4,5,6,7})
 +--OR('Calcul Folie+Placa Tacker'!$U$24={4,5,6,7})
 +--OR('Calcul Folie+Placa Tacker'!$AF$24={4,5,6,7})</f>
        <v>0</v>
      </c>
      <c r="F48" s="286">
        <v>82</v>
      </c>
      <c r="G48" s="33">
        <f t="shared" si="0"/>
        <v>0</v>
      </c>
      <c r="H48" s="248">
        <f t="shared" si="1"/>
        <v>0</v>
      </c>
      <c r="I48" s="247"/>
      <c r="J48" s="5"/>
      <c r="K48" s="5"/>
      <c r="L48" s="5"/>
      <c r="M48" s="5"/>
      <c r="N48" s="5"/>
      <c r="O48" s="5"/>
      <c r="P48" s="5"/>
      <c r="Q48" s="5"/>
    </row>
    <row r="49" spans="1:17" ht="18" customHeight="1" thickBot="1">
      <c r="A49" s="12"/>
      <c r="B49" s="260" t="s">
        <v>130</v>
      </c>
      <c r="C49" s="332" t="s">
        <v>424</v>
      </c>
      <c r="D49" s="2" t="s">
        <v>11</v>
      </c>
      <c r="E49" s="297" cm="1">
        <f t="array" ref="E49">--OR('Calcul Folie+Placa Tacker'!$J$24={8,9,10,11})
 +--OR('Calcul Folie+Placa Tacker'!$U$24={8,9,10,11})
 +--OR('Calcul Folie+Placa Tacker'!$AF$24={8,9,10,11})</f>
        <v>0</v>
      </c>
      <c r="F49" s="286">
        <v>96</v>
      </c>
      <c r="G49" s="33">
        <f t="shared" si="0"/>
        <v>0</v>
      </c>
      <c r="H49" s="248">
        <f t="shared" si="1"/>
        <v>0</v>
      </c>
      <c r="I49" s="247"/>
      <c r="J49" s="5"/>
      <c r="K49" s="5"/>
      <c r="L49" s="5"/>
      <c r="M49" s="5"/>
      <c r="N49" s="5"/>
      <c r="O49" s="5"/>
      <c r="P49" s="5"/>
      <c r="Q49" s="5"/>
    </row>
    <row r="50" spans="1:17" ht="18" customHeight="1" thickBot="1">
      <c r="A50" s="12"/>
      <c r="B50" s="260" t="s">
        <v>131</v>
      </c>
      <c r="C50" s="332" t="s">
        <v>425</v>
      </c>
      <c r="D50" s="2" t="s">
        <v>11</v>
      </c>
      <c r="E50" s="297" cm="1">
        <f t="array" ref="E50">--OR('Calcul Folie+Placa Tacker'!$J$24={12,13})
 +--OR('Calcul Folie+Placa Tacker'!$U$24={12,13})
 +--OR('Calcul Folie+Placa Tacker'!$AF$24={12,13})</f>
        <v>0</v>
      </c>
      <c r="F50" s="286">
        <v>102</v>
      </c>
      <c r="G50" s="33">
        <f t="shared" si="0"/>
        <v>0</v>
      </c>
      <c r="H50" s="248">
        <f t="shared" si="1"/>
        <v>0</v>
      </c>
      <c r="I50" s="247"/>
      <c r="J50" s="5"/>
      <c r="K50" s="5"/>
      <c r="L50" s="5"/>
      <c r="M50" s="5"/>
      <c r="N50" s="5"/>
      <c r="O50" s="5"/>
      <c r="P50" s="5"/>
      <c r="Q50" s="5"/>
    </row>
    <row r="51" spans="1:17" ht="18" customHeight="1" thickBot="1">
      <c r="A51" s="12"/>
      <c r="B51" s="260" t="s">
        <v>325</v>
      </c>
      <c r="C51" s="332" t="s">
        <v>426</v>
      </c>
      <c r="D51" s="2" t="s">
        <v>11</v>
      </c>
      <c r="E51" s="297" cm="1">
        <f t="array" ref="E51">--OR('Calcul Folie+Placa Tacker'!$J$24={14,15})
 +--OR('Calcul Folie+Placa Tacker'!$U$24={14,15})
 +--OR('Calcul Folie+Placa Tacker'!$AF$24={14,15})</f>
        <v>0</v>
      </c>
      <c r="F51" s="286">
        <v>120</v>
      </c>
      <c r="G51" s="33">
        <f t="shared" si="0"/>
        <v>0</v>
      </c>
      <c r="H51" s="248">
        <f t="shared" si="1"/>
        <v>0</v>
      </c>
      <c r="I51" s="247"/>
      <c r="J51" s="5"/>
      <c r="K51" s="5"/>
      <c r="L51" s="5"/>
      <c r="M51" s="5"/>
      <c r="N51" s="5"/>
      <c r="O51" s="5"/>
      <c r="P51" s="5"/>
      <c r="Q51" s="5"/>
    </row>
    <row r="52" spans="1:17" ht="18" customHeight="1" thickBot="1">
      <c r="A52" s="12"/>
      <c r="B52" s="2" t="s">
        <v>86</v>
      </c>
      <c r="C52" s="13" t="s">
        <v>139</v>
      </c>
      <c r="D52" s="2" t="s">
        <v>13</v>
      </c>
      <c r="E52" s="2">
        <f>'Calcul Folie+Placa Tacker'!I24</f>
        <v>0</v>
      </c>
      <c r="F52" s="286">
        <v>4.2</v>
      </c>
      <c r="G52" s="33">
        <f t="shared" si="0"/>
        <v>0</v>
      </c>
      <c r="H52" s="248">
        <f>E52</f>
        <v>0</v>
      </c>
      <c r="I52" s="5"/>
      <c r="J52" s="5"/>
      <c r="K52" s="5"/>
      <c r="L52" s="5"/>
      <c r="M52" s="5"/>
      <c r="N52" s="5"/>
      <c r="O52" s="5"/>
      <c r="P52" s="5"/>
      <c r="Q52" s="5"/>
    </row>
    <row r="53" spans="1:17" ht="27.9" customHeight="1" thickBot="1">
      <c r="A53" s="35"/>
      <c r="B53" s="36" t="s">
        <v>128</v>
      </c>
      <c r="C53" s="37" t="s">
        <v>427</v>
      </c>
      <c r="D53" s="36" t="s">
        <v>11</v>
      </c>
      <c r="E53" s="135">
        <f>IF(AND('Calcul Folie+Placa Tacker'!$J$24&gt;0, 'Calcul Folie+Placa Tacker'!$U$24&gt;0, 'Calcul Folie+Placa Tacker'!$AF$24&gt;0), 3,
    IF(OR(AND('Calcul Folie+Placa Tacker'!$J$24&gt;0, 'Calcul Folie+Placa Tacker'!$U$24&gt;0),
          AND('Calcul Folie+Placa Tacker'!$J$24&gt;0, 'Calcul Folie+Placa Tacker'!$AF$24&gt;0),
          AND('Calcul Folie+Placa Tacker'!$U$24&gt;0, 'Calcul Folie+Placa Tacker'!$AF$24&gt;0)), 2,
    IF(OR('Calcul Folie+Placa Tacker'!$J$24&gt;0, 'Calcul Folie+Placa Tacker'!$U$24&gt;0, 'Calcul Folie+Placa Tacker'!$AF$24&gt;0), 1, 0)))</f>
        <v>0</v>
      </c>
      <c r="F53" s="303">
        <v>342</v>
      </c>
      <c r="G53" s="38">
        <f t="shared" si="0"/>
        <v>0</v>
      </c>
      <c r="H53" s="248">
        <f t="shared" si="1"/>
        <v>0</v>
      </c>
      <c r="I53" s="5"/>
      <c r="J53" s="5"/>
      <c r="K53" s="5"/>
      <c r="L53" s="5"/>
      <c r="M53" s="5"/>
      <c r="N53" s="5"/>
      <c r="O53" s="5"/>
      <c r="P53" s="5"/>
      <c r="Q53" s="5"/>
    </row>
    <row r="54" spans="1:17" ht="18.75" customHeight="1" thickTop="1" thickBot="1">
      <c r="A54" s="522" t="s">
        <v>25</v>
      </c>
      <c r="B54" s="540"/>
      <c r="C54" s="540"/>
      <c r="D54" s="540"/>
      <c r="E54" s="42"/>
      <c r="F54" s="153"/>
      <c r="G54" s="176">
        <f>SUM(G21:G53)</f>
        <v>0</v>
      </c>
      <c r="H54" s="249">
        <f>G54</f>
        <v>0</v>
      </c>
      <c r="I54" s="5"/>
      <c r="J54" s="5"/>
      <c r="K54" s="5"/>
      <c r="L54" s="5"/>
      <c r="M54" s="5"/>
      <c r="N54" s="5"/>
      <c r="O54" s="5"/>
      <c r="P54" s="5"/>
      <c r="Q54" s="5"/>
    </row>
    <row r="55" spans="1:17" ht="18.75" customHeight="1" thickTop="1" thickBot="1">
      <c r="A55" s="537" t="s">
        <v>156</v>
      </c>
      <c r="B55" s="573"/>
      <c r="C55" s="573"/>
      <c r="D55" s="573"/>
      <c r="E55" s="304">
        <v>0.05</v>
      </c>
      <c r="F55" s="10"/>
      <c r="G55" s="48">
        <f>G54*(1-E55)</f>
        <v>0</v>
      </c>
      <c r="H55" s="249">
        <f>G55</f>
        <v>0</v>
      </c>
      <c r="I55" s="5"/>
      <c r="J55" s="5"/>
      <c r="K55" s="5"/>
      <c r="L55" s="5"/>
      <c r="M55" s="5"/>
      <c r="N55" s="5"/>
      <c r="O55" s="5"/>
      <c r="P55" s="5"/>
      <c r="Q55" s="5"/>
    </row>
    <row r="56" spans="1:17" ht="18.75" customHeight="1" thickTop="1" thickBot="1">
      <c r="A56" s="522" t="s">
        <v>143</v>
      </c>
      <c r="B56" s="540"/>
      <c r="C56" s="540"/>
      <c r="D56" s="540"/>
      <c r="E56" s="42"/>
      <c r="F56" s="43"/>
      <c r="G56" s="48">
        <f>G55*1.21</f>
        <v>0</v>
      </c>
      <c r="H56" s="249">
        <f>G56</f>
        <v>0</v>
      </c>
      <c r="I56" s="5"/>
      <c r="J56" s="5"/>
      <c r="K56" s="5"/>
      <c r="L56" s="5"/>
      <c r="M56" s="5"/>
      <c r="N56" s="5"/>
      <c r="O56" s="5"/>
      <c r="P56" s="5"/>
      <c r="Q56" s="5"/>
    </row>
    <row r="57" spans="1:17" ht="16.5" customHeight="1" thickTop="1">
      <c r="A57" s="14"/>
      <c r="B57" s="15"/>
      <c r="C57" s="15"/>
      <c r="D57" s="15"/>
      <c r="E57" s="15"/>
      <c r="F57" s="15"/>
      <c r="G57" s="15"/>
      <c r="H57" s="250"/>
      <c r="I57" s="5"/>
      <c r="J57" s="5"/>
      <c r="K57" s="5"/>
      <c r="L57" s="5"/>
      <c r="M57" s="5"/>
      <c r="N57" s="5"/>
      <c r="O57" s="5"/>
      <c r="P57" s="5"/>
      <c r="Q57" s="5"/>
    </row>
    <row r="58" spans="1:17" ht="15" customHeight="1">
      <c r="A58" s="14"/>
      <c r="B58" s="15"/>
      <c r="C58" s="15"/>
      <c r="D58" s="15"/>
      <c r="E58" s="15"/>
      <c r="F58" s="15"/>
      <c r="G58" s="15"/>
      <c r="H58" s="250" t="s">
        <v>83</v>
      </c>
      <c r="I58" s="5"/>
      <c r="J58" s="5"/>
      <c r="K58" s="5"/>
      <c r="L58" s="5"/>
      <c r="M58" s="5"/>
      <c r="N58" s="5"/>
      <c r="O58" s="5"/>
      <c r="P58" s="5"/>
      <c r="Q58" s="5"/>
    </row>
    <row r="59" spans="1:17" ht="15" customHeight="1">
      <c r="A59" s="14"/>
      <c r="B59" s="15"/>
      <c r="C59" s="15"/>
      <c r="D59" s="15"/>
      <c r="E59" s="15"/>
      <c r="F59" s="15"/>
      <c r="G59" s="15"/>
      <c r="H59" s="250"/>
      <c r="I59" s="5"/>
      <c r="J59" s="5"/>
      <c r="K59" s="5"/>
      <c r="L59" s="5"/>
      <c r="M59" s="5"/>
      <c r="N59" s="5"/>
      <c r="O59" s="5"/>
      <c r="P59" s="5"/>
      <c r="Q59" s="5"/>
    </row>
    <row r="60" spans="1:17" ht="13.5" customHeight="1">
      <c r="A60" s="193"/>
      <c r="B60" s="193"/>
      <c r="C60" s="193"/>
      <c r="D60" s="193"/>
      <c r="E60" s="193"/>
      <c r="F60" s="193"/>
      <c r="G60" s="193"/>
      <c r="H60" s="251"/>
      <c r="I60" s="5"/>
      <c r="J60" s="5"/>
      <c r="K60" s="5"/>
      <c r="L60" s="5"/>
      <c r="M60" s="5"/>
      <c r="N60" s="5"/>
      <c r="O60" s="5"/>
      <c r="P60" s="5"/>
      <c r="Q60" s="5"/>
    </row>
    <row r="61" spans="1:17" ht="18.75" customHeight="1">
      <c r="A61" s="541" t="s">
        <v>287</v>
      </c>
      <c r="B61" s="541"/>
      <c r="C61" s="541"/>
      <c r="D61" s="541"/>
      <c r="E61" s="541"/>
      <c r="F61" s="541"/>
      <c r="G61" s="541"/>
      <c r="H61" s="250">
        <f>SUM(H69:H104)</f>
        <v>0</v>
      </c>
      <c r="I61" s="5"/>
      <c r="J61" s="5"/>
      <c r="K61" s="5"/>
      <c r="L61" s="5"/>
      <c r="M61" s="5"/>
      <c r="N61" s="5"/>
      <c r="O61" s="5"/>
      <c r="P61" s="5"/>
      <c r="Q61" s="5"/>
    </row>
    <row r="62" spans="1:17" ht="18.75" customHeight="1">
      <c r="A62" s="72"/>
      <c r="B62" s="72"/>
      <c r="C62" s="72"/>
      <c r="D62" s="72"/>
      <c r="E62" s="72"/>
      <c r="F62" s="72"/>
      <c r="G62" s="72"/>
      <c r="H62" s="250"/>
      <c r="I62" s="5"/>
      <c r="J62" s="5"/>
      <c r="K62" s="5"/>
      <c r="L62" s="5"/>
      <c r="M62" s="5"/>
      <c r="N62" s="5"/>
      <c r="O62" s="5"/>
      <c r="P62" s="5"/>
      <c r="Q62" s="5"/>
    </row>
    <row r="63" spans="1:17" ht="18" customHeight="1">
      <c r="A63" s="533" t="s">
        <v>26</v>
      </c>
      <c r="B63" s="533"/>
      <c r="C63" s="533"/>
      <c r="D63" s="533"/>
      <c r="E63" s="533"/>
      <c r="F63" s="533"/>
      <c r="G63" s="533"/>
      <c r="H63" s="250">
        <f>G80</f>
        <v>0</v>
      </c>
      <c r="I63" s="5"/>
      <c r="J63" s="5"/>
      <c r="K63" s="5"/>
      <c r="L63" s="5"/>
      <c r="M63" s="5"/>
      <c r="N63" s="5"/>
      <c r="O63" s="5"/>
      <c r="P63" s="5"/>
      <c r="Q63" s="5"/>
    </row>
    <row r="64" spans="1:17">
      <c r="A64" s="544"/>
      <c r="B64" s="544"/>
      <c r="C64" s="544"/>
      <c r="D64" s="544"/>
      <c r="E64" s="544"/>
      <c r="F64" s="544"/>
      <c r="G64" s="544"/>
      <c r="H64" s="249">
        <f>G80</f>
        <v>0</v>
      </c>
      <c r="I64" s="5"/>
      <c r="J64" s="5"/>
      <c r="K64" s="5"/>
      <c r="L64" s="5"/>
      <c r="M64" s="5"/>
      <c r="N64" s="5"/>
      <c r="O64" s="5"/>
      <c r="P64" s="5"/>
      <c r="Q64" s="5"/>
    </row>
    <row r="65" spans="1:24" ht="15.75" customHeight="1" thickBot="1">
      <c r="A65" s="16"/>
      <c r="B65" s="15"/>
      <c r="C65" s="15"/>
      <c r="D65" s="15"/>
      <c r="E65" s="15"/>
      <c r="F65" s="15"/>
      <c r="G65" s="15"/>
      <c r="H65" s="249">
        <f>G80</f>
        <v>0</v>
      </c>
      <c r="I65" s="5"/>
      <c r="J65" s="5"/>
      <c r="K65" s="5"/>
      <c r="L65" s="5"/>
      <c r="M65" s="5"/>
      <c r="N65" s="5"/>
      <c r="O65" s="5"/>
      <c r="P65" s="5"/>
      <c r="Q65" s="5"/>
    </row>
    <row r="66" spans="1:24" ht="18.75" customHeight="1" thickTop="1">
      <c r="A66" s="6" t="s">
        <v>1</v>
      </c>
      <c r="B66" s="518" t="s">
        <v>3</v>
      </c>
      <c r="C66" s="518" t="s">
        <v>4</v>
      </c>
      <c r="D66" s="518" t="s">
        <v>5</v>
      </c>
      <c r="E66" s="518" t="s">
        <v>6</v>
      </c>
      <c r="F66" s="7" t="s">
        <v>7</v>
      </c>
      <c r="G66" s="8" t="s">
        <v>9</v>
      </c>
      <c r="H66" s="249">
        <f>G80</f>
        <v>0</v>
      </c>
      <c r="I66" s="5"/>
      <c r="J66" s="5"/>
      <c r="K66" s="5"/>
      <c r="L66" s="5"/>
      <c r="M66" s="5"/>
      <c r="N66" s="5"/>
      <c r="O66" s="5"/>
      <c r="P66" s="5"/>
      <c r="Q66" s="5"/>
    </row>
    <row r="67" spans="1:24" ht="28.5" customHeight="1" thickBot="1">
      <c r="A67" s="17" t="s">
        <v>2</v>
      </c>
      <c r="B67" s="527"/>
      <c r="C67" s="527"/>
      <c r="D67" s="527"/>
      <c r="E67" s="527"/>
      <c r="F67" s="18" t="s">
        <v>8</v>
      </c>
      <c r="G67" s="19" t="s">
        <v>8</v>
      </c>
      <c r="H67" s="249">
        <f>G80</f>
        <v>0</v>
      </c>
      <c r="I67" s="5"/>
      <c r="J67" s="5"/>
      <c r="K67" s="5"/>
      <c r="L67" s="5"/>
      <c r="M67" s="5"/>
      <c r="N67" s="5"/>
      <c r="O67" s="5"/>
      <c r="P67" s="5"/>
      <c r="Q67" s="5"/>
    </row>
    <row r="68" spans="1:24" ht="18" customHeight="1" thickTop="1" thickBot="1">
      <c r="A68" s="571" t="s">
        <v>27</v>
      </c>
      <c r="B68" s="578"/>
      <c r="C68" s="578"/>
      <c r="D68" s="165"/>
      <c r="E68" s="165"/>
      <c r="F68" s="165"/>
      <c r="G68" s="153"/>
      <c r="H68" s="248">
        <f>SUM(H69:H71)</f>
        <v>0</v>
      </c>
      <c r="I68" s="5"/>
      <c r="J68" s="5"/>
      <c r="K68" s="5"/>
      <c r="L68" s="5"/>
      <c r="M68" s="5"/>
      <c r="N68" s="5"/>
      <c r="O68" s="5"/>
      <c r="P68" s="5"/>
      <c r="Q68" s="5"/>
      <c r="S68" s="5"/>
      <c r="T68" s="5"/>
      <c r="U68" s="5"/>
      <c r="V68" s="5"/>
      <c r="W68" s="5"/>
      <c r="X68" s="5"/>
    </row>
    <row r="69" spans="1:24" ht="27.9" customHeight="1" thickTop="1" thickBot="1">
      <c r="A69" s="12"/>
      <c r="B69" s="3" t="s">
        <v>28</v>
      </c>
      <c r="C69" s="13" t="s">
        <v>182</v>
      </c>
      <c r="D69" s="3" t="s">
        <v>11</v>
      </c>
      <c r="E69" s="3">
        <f>'Calcul Folie+Placa Tacker'!K22</f>
        <v>0</v>
      </c>
      <c r="F69" s="287">
        <v>179</v>
      </c>
      <c r="G69" s="33">
        <f>E69*F69</f>
        <v>0</v>
      </c>
      <c r="H69" s="248">
        <f>E69</f>
        <v>0</v>
      </c>
      <c r="I69" s="5"/>
      <c r="J69" s="5"/>
      <c r="K69" s="5"/>
      <c r="L69" s="5"/>
      <c r="M69" s="5"/>
      <c r="N69" s="5"/>
      <c r="O69" s="5"/>
      <c r="P69" s="5"/>
      <c r="Q69" s="5"/>
    </row>
    <row r="70" spans="1:24" ht="18" customHeight="1" thickBot="1">
      <c r="A70" s="12"/>
      <c r="B70" s="3" t="s">
        <v>29</v>
      </c>
      <c r="C70" s="13" t="s">
        <v>30</v>
      </c>
      <c r="D70" s="3" t="s">
        <v>11</v>
      </c>
      <c r="E70" s="212">
        <f>'Calcul Folie+Placa Tacker'!H24</f>
        <v>0</v>
      </c>
      <c r="F70" s="286">
        <v>17</v>
      </c>
      <c r="G70" s="33">
        <f t="shared" ref="G70:G75" si="2">E70*F70</f>
        <v>0</v>
      </c>
      <c r="H70" s="248">
        <f t="shared" ref="H70:H75" si="3">E70</f>
        <v>0</v>
      </c>
      <c r="I70" s="5"/>
      <c r="J70" s="5"/>
      <c r="K70" s="5"/>
      <c r="L70" s="5"/>
      <c r="M70" s="5"/>
      <c r="N70" s="5"/>
      <c r="O70" s="5"/>
      <c r="P70" s="5"/>
      <c r="Q70" s="5"/>
    </row>
    <row r="71" spans="1:24" ht="18" customHeight="1" thickBot="1">
      <c r="A71" s="35"/>
      <c r="B71" s="40" t="s">
        <v>31</v>
      </c>
      <c r="C71" s="37" t="s">
        <v>183</v>
      </c>
      <c r="D71" s="40" t="s">
        <v>11</v>
      </c>
      <c r="E71" s="40">
        <f>IF(OR('Calcul Folie+Placa Tacker'!J22=0),0,'Calcul Folie+Placa Tacker'!J22-1)</f>
        <v>0</v>
      </c>
      <c r="F71" s="288">
        <v>41</v>
      </c>
      <c r="G71" s="38">
        <f t="shared" si="2"/>
        <v>0</v>
      </c>
      <c r="H71" s="248">
        <f t="shared" si="3"/>
        <v>0</v>
      </c>
      <c r="I71" s="5"/>
      <c r="J71" s="5"/>
      <c r="K71" s="5"/>
      <c r="L71" s="5"/>
      <c r="M71" s="5"/>
      <c r="N71" s="5"/>
      <c r="O71" s="5"/>
      <c r="P71" s="5"/>
      <c r="Q71" s="5"/>
    </row>
    <row r="72" spans="1:24" ht="18" customHeight="1" thickTop="1" thickBot="1">
      <c r="A72" s="571" t="s">
        <v>326</v>
      </c>
      <c r="B72" s="572"/>
      <c r="C72" s="572"/>
      <c r="D72" s="165"/>
      <c r="E72" s="165"/>
      <c r="F72" s="14"/>
      <c r="G72" s="166"/>
      <c r="H72" s="248">
        <f>SUM(H73:H75)</f>
        <v>0</v>
      </c>
      <c r="I72" s="5"/>
      <c r="J72" s="5"/>
      <c r="K72" s="5"/>
      <c r="L72" s="5"/>
      <c r="M72" s="5"/>
      <c r="N72" s="5"/>
      <c r="O72" s="5"/>
      <c r="P72" s="5"/>
      <c r="Q72" s="5"/>
    </row>
    <row r="73" spans="1:24" ht="27.9" customHeight="1" thickTop="1" thickBot="1">
      <c r="A73" s="12"/>
      <c r="B73" s="3" t="s">
        <v>28</v>
      </c>
      <c r="C73" s="13" t="s">
        <v>182</v>
      </c>
      <c r="D73" s="3" t="s">
        <v>11</v>
      </c>
      <c r="E73" s="3">
        <f>'Calcul Folie+Placa Tacker'!V22</f>
        <v>0</v>
      </c>
      <c r="F73" s="287">
        <v>179</v>
      </c>
      <c r="G73" s="33">
        <f t="shared" si="2"/>
        <v>0</v>
      </c>
      <c r="H73" s="248">
        <f t="shared" si="3"/>
        <v>0</v>
      </c>
      <c r="I73" s="5"/>
      <c r="J73" s="5"/>
      <c r="K73" s="5"/>
      <c r="L73" s="5"/>
      <c r="M73" s="5"/>
      <c r="N73" s="5"/>
      <c r="O73" s="5"/>
      <c r="P73" s="5"/>
      <c r="Q73" s="5"/>
    </row>
    <row r="74" spans="1:24" ht="18" customHeight="1" thickBot="1">
      <c r="A74" s="12"/>
      <c r="B74" s="3" t="s">
        <v>29</v>
      </c>
      <c r="C74" s="13" t="s">
        <v>30</v>
      </c>
      <c r="D74" s="3" t="s">
        <v>11</v>
      </c>
      <c r="E74" s="3">
        <f>'Calcul Folie+Placa Tacker'!S24</f>
        <v>0</v>
      </c>
      <c r="F74" s="286">
        <v>17</v>
      </c>
      <c r="G74" s="33">
        <f t="shared" si="2"/>
        <v>0</v>
      </c>
      <c r="H74" s="248">
        <f t="shared" si="3"/>
        <v>0</v>
      </c>
      <c r="I74" s="5"/>
      <c r="J74" s="5"/>
      <c r="K74" s="5"/>
      <c r="L74" s="5"/>
      <c r="M74" s="5"/>
      <c r="N74" s="5"/>
      <c r="O74" s="5"/>
      <c r="P74" s="5"/>
      <c r="Q74" s="5"/>
    </row>
    <row r="75" spans="1:24" ht="18" customHeight="1" thickBot="1">
      <c r="A75" s="35"/>
      <c r="B75" s="40" t="s">
        <v>31</v>
      </c>
      <c r="C75" s="37" t="s">
        <v>183</v>
      </c>
      <c r="D75" s="40" t="s">
        <v>11</v>
      </c>
      <c r="E75" s="40">
        <f>IF(OR('Calcul Folie+Placa Tacker'!U22=0),0,'Calcul Folie+Placa Tacker'!U22-1)</f>
        <v>0</v>
      </c>
      <c r="F75" s="288">
        <v>41</v>
      </c>
      <c r="G75" s="38">
        <f t="shared" si="2"/>
        <v>0</v>
      </c>
      <c r="H75" s="248">
        <f t="shared" si="3"/>
        <v>0</v>
      </c>
      <c r="I75" s="5"/>
      <c r="J75" s="5"/>
      <c r="K75" s="5"/>
      <c r="L75" s="5"/>
      <c r="M75" s="5"/>
      <c r="N75" s="5"/>
      <c r="O75" s="5"/>
      <c r="P75" s="5"/>
      <c r="Q75" s="5"/>
    </row>
    <row r="76" spans="1:24" ht="18" customHeight="1" thickTop="1" thickBot="1">
      <c r="A76" s="571" t="s">
        <v>32</v>
      </c>
      <c r="B76" s="572"/>
      <c r="C76" s="572"/>
      <c r="D76" s="165"/>
      <c r="E76" s="165"/>
      <c r="F76" s="14"/>
      <c r="G76" s="166"/>
      <c r="H76" s="248">
        <f>SUM(H77:H79)</f>
        <v>0</v>
      </c>
      <c r="I76" s="5"/>
      <c r="J76" s="5"/>
      <c r="K76" s="5"/>
      <c r="L76" s="5"/>
      <c r="M76" s="5"/>
      <c r="N76" s="5"/>
      <c r="O76" s="5"/>
      <c r="P76" s="5"/>
      <c r="Q76" s="5"/>
    </row>
    <row r="77" spans="1:24" ht="25.5" customHeight="1" thickTop="1" thickBot="1">
      <c r="A77" s="12"/>
      <c r="B77" s="3" t="s">
        <v>28</v>
      </c>
      <c r="C77" s="13" t="s">
        <v>182</v>
      </c>
      <c r="D77" s="3" t="s">
        <v>11</v>
      </c>
      <c r="E77" s="3">
        <f>'Calcul Folie+Placa Tacker'!AG22</f>
        <v>0</v>
      </c>
      <c r="F77" s="287">
        <v>179</v>
      </c>
      <c r="G77" s="33">
        <f>E77*F77</f>
        <v>0</v>
      </c>
      <c r="H77" s="248">
        <f>E77</f>
        <v>0</v>
      </c>
      <c r="I77" s="5"/>
      <c r="J77" s="5"/>
      <c r="K77" s="5"/>
      <c r="L77" s="5"/>
      <c r="M77" s="5"/>
      <c r="N77" s="5"/>
      <c r="O77" s="5"/>
      <c r="P77" s="5"/>
      <c r="Q77" s="5"/>
    </row>
    <row r="78" spans="1:24" ht="18" customHeight="1" thickBot="1">
      <c r="A78" s="12"/>
      <c r="B78" s="3" t="s">
        <v>29</v>
      </c>
      <c r="C78" s="13" t="s">
        <v>30</v>
      </c>
      <c r="D78" s="3" t="s">
        <v>11</v>
      </c>
      <c r="E78" s="3">
        <f>'Calcul Folie+Placa Tacker'!AD24</f>
        <v>0</v>
      </c>
      <c r="F78" s="286">
        <v>17</v>
      </c>
      <c r="G78" s="33">
        <f>E78*F78</f>
        <v>0</v>
      </c>
      <c r="H78" s="248">
        <f>E78</f>
        <v>0</v>
      </c>
      <c r="I78" s="5"/>
      <c r="J78" s="5"/>
      <c r="K78" s="5"/>
      <c r="L78" s="5"/>
      <c r="M78" s="5"/>
      <c r="N78" s="5"/>
      <c r="O78" s="5"/>
      <c r="P78" s="5"/>
      <c r="Q78" s="5"/>
    </row>
    <row r="79" spans="1:24" ht="18" customHeight="1" thickBot="1">
      <c r="A79" s="35"/>
      <c r="B79" s="40" t="s">
        <v>31</v>
      </c>
      <c r="C79" s="37" t="s">
        <v>183</v>
      </c>
      <c r="D79" s="40" t="s">
        <v>11</v>
      </c>
      <c r="E79" s="40">
        <f>IF(OR('Calcul Folie+Placa Tacker'!AF22=0),0,'Calcul Folie+Placa Tacker'!AF22-1)</f>
        <v>0</v>
      </c>
      <c r="F79" s="288">
        <v>41</v>
      </c>
      <c r="G79" s="164">
        <f>E79*F79</f>
        <v>0</v>
      </c>
      <c r="H79" s="248">
        <f>E79</f>
        <v>0</v>
      </c>
      <c r="I79" s="5"/>
      <c r="J79" s="5"/>
      <c r="K79" s="5"/>
      <c r="L79" s="5"/>
      <c r="M79" s="5"/>
      <c r="N79" s="5"/>
      <c r="O79" s="5"/>
      <c r="P79" s="5"/>
      <c r="Q79" s="5"/>
    </row>
    <row r="80" spans="1:24" ht="18" customHeight="1" thickTop="1" thickBot="1">
      <c r="A80" s="522" t="s">
        <v>25</v>
      </c>
      <c r="B80" s="523"/>
      <c r="C80" s="523"/>
      <c r="D80" s="523"/>
      <c r="E80" s="523"/>
      <c r="F80" s="577"/>
      <c r="G80" s="96">
        <f>SUM(G69:G79)</f>
        <v>0</v>
      </c>
      <c r="H80" s="251">
        <f>G80</f>
        <v>0</v>
      </c>
      <c r="I80" s="5"/>
      <c r="J80" s="5"/>
      <c r="K80" s="5"/>
      <c r="L80" s="5"/>
      <c r="M80" s="5"/>
      <c r="N80" s="5"/>
      <c r="O80" s="5"/>
      <c r="P80" s="5"/>
      <c r="Q80" s="5"/>
    </row>
    <row r="81" spans="1:17" ht="18" customHeight="1" thickTop="1" thickBot="1">
      <c r="A81" s="537" t="s">
        <v>157</v>
      </c>
      <c r="B81" s="546"/>
      <c r="C81" s="546"/>
      <c r="D81" s="546"/>
      <c r="E81" s="304">
        <v>0.05</v>
      </c>
      <c r="F81" s="265"/>
      <c r="G81" s="98">
        <f>G80*(1-E81)</f>
        <v>0</v>
      </c>
      <c r="H81" s="251">
        <f>G81</f>
        <v>0</v>
      </c>
      <c r="I81" s="5"/>
      <c r="J81" s="5"/>
      <c r="K81" s="5"/>
      <c r="L81" s="5"/>
      <c r="M81" s="5"/>
      <c r="N81" s="5"/>
      <c r="O81" s="5"/>
      <c r="P81" s="5"/>
      <c r="Q81" s="5"/>
    </row>
    <row r="82" spans="1:17" ht="18" customHeight="1" thickTop="1" thickBot="1">
      <c r="A82" s="547" t="s">
        <v>143</v>
      </c>
      <c r="B82" s="548"/>
      <c r="C82" s="548"/>
      <c r="D82" s="548"/>
      <c r="E82" s="548"/>
      <c r="F82" s="548"/>
      <c r="G82" s="99">
        <f>G81*1.21</f>
        <v>0</v>
      </c>
      <c r="H82" s="251">
        <f>G82</f>
        <v>0</v>
      </c>
      <c r="I82" s="5"/>
      <c r="J82" s="5"/>
      <c r="K82" s="5"/>
      <c r="L82" s="5"/>
      <c r="M82" s="5"/>
      <c r="N82" s="5"/>
      <c r="O82" s="5"/>
      <c r="P82" s="5"/>
      <c r="Q82" s="5"/>
    </row>
    <row r="83" spans="1:17" ht="18" customHeight="1" thickTop="1">
      <c r="A83" s="53"/>
      <c r="B83" s="53"/>
      <c r="C83" s="53"/>
      <c r="D83" s="53"/>
      <c r="E83" s="53"/>
      <c r="F83" s="53"/>
      <c r="G83" s="218"/>
      <c r="H83" s="251"/>
      <c r="I83" s="5"/>
      <c r="J83" s="5"/>
      <c r="K83" s="5"/>
      <c r="L83" s="5"/>
      <c r="M83" s="5"/>
      <c r="N83" s="5"/>
      <c r="O83" s="5"/>
      <c r="P83" s="5"/>
      <c r="Q83" s="5"/>
    </row>
    <row r="84" spans="1:17" ht="18.75" customHeight="1">
      <c r="A84" s="14"/>
      <c r="B84" s="15"/>
      <c r="C84" s="15"/>
      <c r="D84" s="15"/>
      <c r="E84" s="15"/>
      <c r="F84" s="15"/>
      <c r="G84" s="15"/>
      <c r="H84" s="251">
        <f>G102</f>
        <v>0</v>
      </c>
      <c r="I84" s="5"/>
      <c r="J84" s="5"/>
      <c r="K84" s="5"/>
      <c r="L84" s="5"/>
      <c r="M84" s="5"/>
      <c r="N84" s="5"/>
      <c r="O84" s="5"/>
      <c r="P84" s="5"/>
      <c r="Q84" s="5"/>
    </row>
    <row r="85" spans="1:17" ht="18" customHeight="1">
      <c r="A85" s="549" t="s">
        <v>178</v>
      </c>
      <c r="B85" s="549"/>
      <c r="C85" s="549"/>
      <c r="D85" s="549"/>
      <c r="E85" s="549"/>
      <c r="F85" s="549"/>
      <c r="G85" s="549"/>
      <c r="H85" s="251">
        <f>G102</f>
        <v>0</v>
      </c>
      <c r="I85" s="5"/>
      <c r="J85" s="5"/>
      <c r="K85" s="5"/>
      <c r="L85" s="5"/>
      <c r="M85" s="5"/>
      <c r="N85" s="5"/>
      <c r="O85" s="5"/>
      <c r="P85" s="5"/>
      <c r="Q85" s="5"/>
    </row>
    <row r="86" spans="1:17" ht="15.9" customHeight="1">
      <c r="A86" s="544"/>
      <c r="B86" s="544"/>
      <c r="C86" s="544"/>
      <c r="D86" s="544"/>
      <c r="E86" s="544"/>
      <c r="F86" s="544"/>
      <c r="G86" s="544"/>
      <c r="H86" s="251">
        <f>G102</f>
        <v>0</v>
      </c>
      <c r="I86" s="5"/>
      <c r="J86" s="5"/>
      <c r="K86" s="5"/>
      <c r="L86" s="5"/>
      <c r="M86" s="5"/>
      <c r="N86" s="5"/>
      <c r="O86" s="5"/>
      <c r="P86" s="5"/>
      <c r="Q86" s="5"/>
    </row>
    <row r="87" spans="1:17" ht="15.75" customHeight="1" thickBot="1">
      <c r="A87" s="16"/>
      <c r="B87" s="15"/>
      <c r="C87" s="15"/>
      <c r="D87" s="15"/>
      <c r="E87" s="15"/>
      <c r="F87" s="15"/>
      <c r="G87" s="15"/>
      <c r="H87" s="251">
        <f>G102</f>
        <v>0</v>
      </c>
      <c r="I87" s="5"/>
      <c r="J87" s="5"/>
      <c r="K87" s="5"/>
      <c r="L87" s="5"/>
      <c r="M87" s="5"/>
      <c r="N87" s="5"/>
      <c r="O87" s="5"/>
      <c r="P87" s="5"/>
      <c r="Q87" s="5"/>
    </row>
    <row r="88" spans="1:17" ht="18" customHeight="1" thickTop="1">
      <c r="A88" s="6" t="s">
        <v>1</v>
      </c>
      <c r="B88" s="518" t="s">
        <v>3</v>
      </c>
      <c r="C88" s="518" t="s">
        <v>4</v>
      </c>
      <c r="D88" s="518" t="s">
        <v>5</v>
      </c>
      <c r="E88" s="518" t="s">
        <v>6</v>
      </c>
      <c r="F88" s="7" t="s">
        <v>7</v>
      </c>
      <c r="G88" s="8" t="s">
        <v>9</v>
      </c>
      <c r="H88" s="251">
        <f>G102</f>
        <v>0</v>
      </c>
      <c r="I88" s="5"/>
      <c r="J88" s="5"/>
      <c r="K88" s="5"/>
      <c r="L88" s="5"/>
      <c r="M88" s="5"/>
      <c r="N88" s="5"/>
      <c r="O88" s="5"/>
      <c r="P88" s="5"/>
      <c r="Q88" s="5"/>
    </row>
    <row r="89" spans="1:17" ht="27" customHeight="1" thickBot="1">
      <c r="A89" s="17" t="s">
        <v>2</v>
      </c>
      <c r="B89" s="527"/>
      <c r="C89" s="527"/>
      <c r="D89" s="527"/>
      <c r="E89" s="527"/>
      <c r="F89" s="18" t="s">
        <v>8</v>
      </c>
      <c r="G89" s="19" t="s">
        <v>8</v>
      </c>
      <c r="H89" s="251">
        <f>G102</f>
        <v>0</v>
      </c>
      <c r="I89" s="5"/>
      <c r="J89" s="5"/>
      <c r="K89" s="5"/>
      <c r="L89" s="5"/>
      <c r="M89" s="5"/>
      <c r="N89" s="5"/>
      <c r="O89" s="5"/>
      <c r="P89" s="5"/>
      <c r="Q89" s="5"/>
    </row>
    <row r="90" spans="1:17" ht="18" customHeight="1" thickTop="1" thickBot="1">
      <c r="A90" s="571" t="s">
        <v>27</v>
      </c>
      <c r="B90" s="578"/>
      <c r="C90" s="578"/>
      <c r="D90" s="165"/>
      <c r="E90" s="165"/>
      <c r="F90" s="165"/>
      <c r="G90" s="153"/>
      <c r="H90" s="248">
        <f>SUM(H91:H93)</f>
        <v>0</v>
      </c>
      <c r="I90" s="5"/>
      <c r="J90" s="5"/>
      <c r="K90" s="5"/>
      <c r="L90" s="5"/>
      <c r="M90" s="5"/>
      <c r="N90" s="5"/>
      <c r="O90" s="5"/>
      <c r="P90" s="5"/>
      <c r="Q90" s="5"/>
    </row>
    <row r="91" spans="1:17" ht="27.9" customHeight="1" thickTop="1" thickBot="1">
      <c r="A91" s="12"/>
      <c r="B91" s="3" t="s">
        <v>376</v>
      </c>
      <c r="C91" s="13" t="s">
        <v>379</v>
      </c>
      <c r="D91" s="3" t="s">
        <v>11</v>
      </c>
      <c r="E91" s="3">
        <f>'Calcul Folie+Placa Tacker'!K22</f>
        <v>0</v>
      </c>
      <c r="F91" s="287">
        <v>229</v>
      </c>
      <c r="G91" s="33">
        <f>E91*F91</f>
        <v>0</v>
      </c>
      <c r="H91" s="248">
        <f>E91</f>
        <v>0</v>
      </c>
      <c r="I91" s="5"/>
      <c r="J91" s="5"/>
      <c r="K91" s="5"/>
      <c r="L91" s="5"/>
      <c r="M91" s="5"/>
      <c r="N91" s="5"/>
      <c r="O91" s="5"/>
      <c r="P91" s="5"/>
      <c r="Q91" s="5"/>
    </row>
    <row r="92" spans="1:17" ht="18" customHeight="1" thickBot="1">
      <c r="A92" s="12"/>
      <c r="B92" s="3" t="s">
        <v>29</v>
      </c>
      <c r="C92" s="13" t="s">
        <v>30</v>
      </c>
      <c r="D92" s="3" t="s">
        <v>11</v>
      </c>
      <c r="E92" s="3">
        <f>'Calcul Folie+Placa Tacker'!H24</f>
        <v>0</v>
      </c>
      <c r="F92" s="286">
        <v>17</v>
      </c>
      <c r="G92" s="33">
        <f t="shared" ref="G92:G101" si="4">E92*F92</f>
        <v>0</v>
      </c>
      <c r="H92" s="248">
        <f>E92</f>
        <v>0</v>
      </c>
      <c r="I92" s="5"/>
      <c r="J92" s="5"/>
      <c r="K92" s="5"/>
      <c r="L92" s="5"/>
      <c r="M92" s="5"/>
      <c r="N92" s="5"/>
      <c r="O92" s="5"/>
      <c r="P92" s="5"/>
      <c r="Q92" s="5"/>
    </row>
    <row r="93" spans="1:17" ht="18" customHeight="1" thickBot="1">
      <c r="A93" s="35"/>
      <c r="B93" s="40" t="s">
        <v>377</v>
      </c>
      <c r="C93" s="37" t="s">
        <v>378</v>
      </c>
      <c r="D93" s="40" t="s">
        <v>11</v>
      </c>
      <c r="E93" s="40">
        <f>'Calcul Folie+Placa Tacker'!J22</f>
        <v>0</v>
      </c>
      <c r="F93" s="303">
        <v>63</v>
      </c>
      <c r="G93" s="38">
        <f t="shared" si="4"/>
        <v>0</v>
      </c>
      <c r="H93" s="248">
        <f>E93</f>
        <v>0</v>
      </c>
      <c r="I93" s="5"/>
      <c r="J93" s="5"/>
      <c r="K93" s="5"/>
      <c r="L93" s="5"/>
      <c r="M93" s="5"/>
      <c r="N93" s="5"/>
      <c r="O93" s="5"/>
      <c r="P93" s="5"/>
      <c r="Q93" s="5"/>
    </row>
    <row r="94" spans="1:17" ht="18" customHeight="1" thickTop="1" thickBot="1">
      <c r="A94" s="571" t="s">
        <v>326</v>
      </c>
      <c r="B94" s="572"/>
      <c r="C94" s="572"/>
      <c r="D94" s="165"/>
      <c r="E94" s="165"/>
      <c r="F94" s="309"/>
      <c r="G94" s="166"/>
      <c r="H94" s="248">
        <f>SUM(H95:H97)</f>
        <v>0</v>
      </c>
      <c r="I94" s="5"/>
      <c r="J94" s="5"/>
      <c r="K94" s="5"/>
      <c r="L94" s="5"/>
      <c r="M94" s="5"/>
      <c r="N94" s="5"/>
      <c r="O94" s="5"/>
      <c r="P94" s="5"/>
      <c r="Q94" s="5"/>
    </row>
    <row r="95" spans="1:17" ht="27.9" customHeight="1" thickTop="1" thickBot="1">
      <c r="A95" s="12"/>
      <c r="B95" s="3" t="s">
        <v>376</v>
      </c>
      <c r="C95" s="13" t="s">
        <v>379</v>
      </c>
      <c r="D95" s="3" t="s">
        <v>11</v>
      </c>
      <c r="E95" s="3">
        <f>'Calcul Folie+Placa Tacker'!V22</f>
        <v>0</v>
      </c>
      <c r="F95" s="287">
        <v>229</v>
      </c>
      <c r="G95" s="33">
        <f>E95*F95</f>
        <v>0</v>
      </c>
      <c r="H95" s="248">
        <f>E95</f>
        <v>0</v>
      </c>
      <c r="I95" s="5"/>
      <c r="J95" s="5"/>
      <c r="K95" s="5"/>
      <c r="L95" s="5"/>
      <c r="M95" s="5"/>
      <c r="N95" s="5"/>
      <c r="O95" s="5"/>
      <c r="P95" s="5"/>
      <c r="Q95" s="5"/>
    </row>
    <row r="96" spans="1:17" ht="18" customHeight="1" thickBot="1">
      <c r="A96" s="12"/>
      <c r="B96" s="3" t="s">
        <v>29</v>
      </c>
      <c r="C96" s="13" t="s">
        <v>30</v>
      </c>
      <c r="D96" s="3" t="s">
        <v>11</v>
      </c>
      <c r="E96" s="3">
        <f>'Calcul Folie+Placa Tacker'!S24</f>
        <v>0</v>
      </c>
      <c r="F96" s="286">
        <v>17</v>
      </c>
      <c r="G96" s="33">
        <f>E96*F96</f>
        <v>0</v>
      </c>
      <c r="H96" s="248">
        <f>E96</f>
        <v>0</v>
      </c>
      <c r="I96" s="5"/>
      <c r="J96" s="5"/>
      <c r="K96" s="5"/>
      <c r="L96" s="5"/>
      <c r="M96" s="5"/>
      <c r="N96" s="5"/>
      <c r="O96" s="5"/>
      <c r="P96" s="5"/>
      <c r="Q96" s="5"/>
    </row>
    <row r="97" spans="1:26" ht="18" customHeight="1" thickBot="1">
      <c r="A97" s="35"/>
      <c r="B97" s="40" t="s">
        <v>377</v>
      </c>
      <c r="C97" s="37" t="s">
        <v>378</v>
      </c>
      <c r="D97" s="40" t="s">
        <v>11</v>
      </c>
      <c r="E97" s="40">
        <f>'Calcul Folie+Placa Tacker'!U22</f>
        <v>0</v>
      </c>
      <c r="F97" s="303">
        <v>63</v>
      </c>
      <c r="G97" s="38">
        <f>E97*F97</f>
        <v>0</v>
      </c>
      <c r="H97" s="248">
        <f>E97</f>
        <v>0</v>
      </c>
      <c r="I97" s="5"/>
      <c r="J97" s="5"/>
      <c r="K97" s="5"/>
      <c r="L97" s="5"/>
      <c r="M97" s="5"/>
      <c r="N97" s="5"/>
      <c r="O97" s="5"/>
      <c r="P97" s="5"/>
      <c r="Q97" s="5"/>
    </row>
    <row r="98" spans="1:26" ht="18" customHeight="1" thickTop="1" thickBot="1">
      <c r="A98" s="571" t="s">
        <v>32</v>
      </c>
      <c r="B98" s="572"/>
      <c r="C98" s="572"/>
      <c r="D98" s="165"/>
      <c r="E98" s="165"/>
      <c r="F98" s="310"/>
      <c r="G98" s="166"/>
      <c r="H98" s="248">
        <f>SUM(H99:H101)</f>
        <v>0</v>
      </c>
      <c r="J98" s="5"/>
    </row>
    <row r="99" spans="1:26" ht="27.9" customHeight="1" thickTop="1" thickBot="1">
      <c r="A99" s="12"/>
      <c r="B99" s="3" t="s">
        <v>376</v>
      </c>
      <c r="C99" s="13" t="s">
        <v>379</v>
      </c>
      <c r="D99" s="3" t="s">
        <v>11</v>
      </c>
      <c r="E99" s="3">
        <f>'Calcul Folie+Placa Tacker'!AG22</f>
        <v>0</v>
      </c>
      <c r="F99" s="287">
        <v>229</v>
      </c>
      <c r="G99" s="33">
        <f t="shared" si="4"/>
        <v>0</v>
      </c>
      <c r="H99" s="248">
        <f>E99</f>
        <v>0</v>
      </c>
      <c r="I99" s="575"/>
      <c r="J99" s="5"/>
      <c r="O99" s="551"/>
    </row>
    <row r="100" spans="1:26" ht="18" customHeight="1" thickBot="1">
      <c r="A100" s="12"/>
      <c r="B100" s="3" t="s">
        <v>29</v>
      </c>
      <c r="C100" s="13" t="s">
        <v>30</v>
      </c>
      <c r="D100" s="3" t="s">
        <v>11</v>
      </c>
      <c r="E100" s="3">
        <f>'Calcul Folie+Placa Tacker'!AD24</f>
        <v>0</v>
      </c>
      <c r="F100" s="286">
        <v>17</v>
      </c>
      <c r="G100" s="33">
        <f t="shared" si="4"/>
        <v>0</v>
      </c>
      <c r="H100" s="248">
        <f>E100</f>
        <v>0</v>
      </c>
      <c r="I100" s="576"/>
      <c r="J100" s="5"/>
      <c r="O100" s="552"/>
    </row>
    <row r="101" spans="1:26" ht="18" customHeight="1" thickBot="1">
      <c r="A101" s="35"/>
      <c r="B101" s="40" t="s">
        <v>377</v>
      </c>
      <c r="C101" s="37" t="s">
        <v>378</v>
      </c>
      <c r="D101" s="40" t="s">
        <v>11</v>
      </c>
      <c r="E101" s="40">
        <f>'Calcul Folie+Placa Tacker'!AF22</f>
        <v>0</v>
      </c>
      <c r="F101" s="288">
        <v>63</v>
      </c>
      <c r="G101" s="38">
        <f t="shared" si="4"/>
        <v>0</v>
      </c>
      <c r="H101" s="248">
        <f>E101</f>
        <v>0</v>
      </c>
      <c r="I101" s="576"/>
      <c r="J101" s="5"/>
      <c r="O101" s="552"/>
    </row>
    <row r="102" spans="1:26" ht="18" customHeight="1" thickTop="1" thickBot="1">
      <c r="A102" s="522" t="s">
        <v>25</v>
      </c>
      <c r="B102" s="523"/>
      <c r="C102" s="523"/>
      <c r="D102" s="523"/>
      <c r="E102" s="523"/>
      <c r="F102" s="577"/>
      <c r="G102" s="96">
        <f>SUM(G91:G101)</f>
        <v>0</v>
      </c>
      <c r="H102" s="251">
        <f>G102</f>
        <v>0</v>
      </c>
      <c r="I102" s="576"/>
      <c r="O102" s="552"/>
    </row>
    <row r="103" spans="1:26" ht="18" customHeight="1" thickTop="1" thickBot="1">
      <c r="A103" s="537" t="s">
        <v>157</v>
      </c>
      <c r="B103" s="573"/>
      <c r="C103" s="573"/>
      <c r="D103" s="573"/>
      <c r="E103" s="304">
        <v>0.05</v>
      </c>
      <c r="F103" s="265"/>
      <c r="G103" s="98">
        <f>G102*(1-E103)</f>
        <v>0</v>
      </c>
      <c r="H103" s="251">
        <f>G103</f>
        <v>0</v>
      </c>
      <c r="I103" s="576"/>
      <c r="O103" s="552"/>
    </row>
    <row r="104" spans="1:26" ht="18" customHeight="1" thickTop="1" thickBot="1">
      <c r="A104" s="522" t="s">
        <v>143</v>
      </c>
      <c r="B104" s="523"/>
      <c r="C104" s="523"/>
      <c r="D104" s="523"/>
      <c r="E104" s="523"/>
      <c r="F104" s="523"/>
      <c r="G104" s="98">
        <f>G103*1.21</f>
        <v>0</v>
      </c>
      <c r="H104" s="251">
        <f>G104</f>
        <v>0</v>
      </c>
      <c r="I104" s="576"/>
      <c r="O104" s="552"/>
    </row>
    <row r="105" spans="1:26" ht="18" customHeight="1" thickTop="1">
      <c r="I105" s="576"/>
      <c r="J105" s="81"/>
      <c r="K105" s="82"/>
      <c r="L105" s="82"/>
      <c r="M105" s="86"/>
      <c r="N105" s="86"/>
      <c r="O105" s="552"/>
      <c r="P105" s="69"/>
      <c r="Q105" s="92"/>
      <c r="R105" s="92"/>
      <c r="S105" s="92"/>
      <c r="T105" s="69"/>
      <c r="U105" s="69"/>
      <c r="V105" s="69"/>
      <c r="W105" s="69"/>
      <c r="X105" s="69"/>
      <c r="Y105" s="69"/>
      <c r="Z105" s="69"/>
    </row>
    <row r="106" spans="1:26" ht="18" customHeight="1">
      <c r="I106" s="576"/>
      <c r="J106" s="81"/>
      <c r="K106" s="82"/>
      <c r="L106" s="82"/>
      <c r="M106" s="86"/>
      <c r="N106" s="86"/>
      <c r="O106" s="552"/>
      <c r="P106" s="100"/>
      <c r="Q106" s="92"/>
      <c r="R106" s="92"/>
      <c r="S106" s="92"/>
      <c r="T106" s="69"/>
      <c r="U106" s="69"/>
      <c r="V106" s="69"/>
      <c r="W106" s="69"/>
      <c r="X106" s="69"/>
      <c r="Y106" s="69"/>
      <c r="Z106" s="69"/>
    </row>
    <row r="107" spans="1:26" ht="18" customHeight="1">
      <c r="I107" s="576"/>
      <c r="J107" s="81"/>
      <c r="K107" s="82"/>
      <c r="L107" s="82"/>
      <c r="M107" s="86"/>
      <c r="N107" s="86"/>
      <c r="O107" s="552"/>
      <c r="P107" s="100"/>
      <c r="Q107" s="92"/>
      <c r="R107" s="92"/>
      <c r="S107" s="92"/>
      <c r="T107" s="69"/>
      <c r="U107" s="69"/>
      <c r="V107" s="69"/>
      <c r="W107" s="69"/>
      <c r="X107" s="69"/>
      <c r="Y107" s="69"/>
      <c r="Z107" s="69"/>
    </row>
    <row r="108" spans="1:26" ht="18" customHeight="1">
      <c r="I108" s="576"/>
      <c r="J108" s="81"/>
      <c r="K108" s="82"/>
      <c r="L108" s="82"/>
      <c r="M108" s="86"/>
      <c r="N108" s="86"/>
      <c r="O108" s="552"/>
      <c r="P108" s="100"/>
      <c r="Q108" s="92"/>
      <c r="R108" s="92"/>
      <c r="S108" s="92"/>
      <c r="T108" s="69"/>
      <c r="U108" s="69"/>
      <c r="V108" s="69"/>
      <c r="W108" s="69"/>
      <c r="X108" s="69"/>
      <c r="Y108" s="69"/>
      <c r="Z108" s="69"/>
    </row>
    <row r="109" spans="1:26" ht="18.75" customHeight="1">
      <c r="A109" s="520" t="s">
        <v>335</v>
      </c>
      <c r="B109" s="521"/>
      <c r="C109" s="521"/>
      <c r="D109" s="521"/>
      <c r="E109" s="521"/>
      <c r="F109" s="521"/>
      <c r="G109" s="521"/>
      <c r="H109" s="251">
        <f>SUM(H111:H115)</f>
        <v>0</v>
      </c>
      <c r="I109" s="576"/>
      <c r="O109" s="552"/>
    </row>
    <row r="110" spans="1:26" ht="15" thickBot="1">
      <c r="A110" s="53"/>
      <c r="B110" s="53"/>
      <c r="C110" s="53"/>
      <c r="D110" s="53"/>
      <c r="E110" s="53"/>
      <c r="F110" s="53"/>
      <c r="G110" s="70"/>
      <c r="H110" s="251"/>
      <c r="I110" s="576"/>
      <c r="O110" s="552"/>
    </row>
    <row r="111" spans="1:26" ht="18" customHeight="1" thickTop="1">
      <c r="A111" s="6" t="s">
        <v>1</v>
      </c>
      <c r="B111" s="518"/>
      <c r="C111" s="518" t="s">
        <v>4</v>
      </c>
      <c r="D111" s="518" t="s">
        <v>5</v>
      </c>
      <c r="E111" s="518" t="s">
        <v>6</v>
      </c>
      <c r="F111" s="7" t="s">
        <v>7</v>
      </c>
      <c r="G111" s="8" t="s">
        <v>9</v>
      </c>
      <c r="H111" s="251">
        <f>G115</f>
        <v>0</v>
      </c>
    </row>
    <row r="112" spans="1:26" ht="18" customHeight="1" thickBot="1">
      <c r="A112" s="9" t="s">
        <v>2</v>
      </c>
      <c r="B112" s="519"/>
      <c r="C112" s="519"/>
      <c r="D112" s="519"/>
      <c r="E112" s="519"/>
      <c r="F112" s="10" t="s">
        <v>330</v>
      </c>
      <c r="G112" s="11" t="s">
        <v>330</v>
      </c>
      <c r="H112" s="251">
        <f>G115</f>
        <v>0</v>
      </c>
    </row>
    <row r="113" spans="1:26" ht="18" customHeight="1" thickTop="1" thickBot="1">
      <c r="A113" s="12"/>
      <c r="B113" s="3"/>
      <c r="C113" s="13" t="s">
        <v>329</v>
      </c>
      <c r="D113" s="3" t="s">
        <v>92</v>
      </c>
      <c r="E113" s="212">
        <f>'Calcul Folie+Placa Tacker'!A24</f>
        <v>0</v>
      </c>
      <c r="F113" s="150">
        <v>10</v>
      </c>
      <c r="G113" s="33">
        <f>E113*F113</f>
        <v>0</v>
      </c>
      <c r="H113" s="251">
        <f>E113</f>
        <v>0</v>
      </c>
    </row>
    <row r="114" spans="1:26" ht="18" customHeight="1" thickBot="1">
      <c r="A114" s="221"/>
      <c r="B114" s="222"/>
      <c r="C114" s="220" t="s">
        <v>332</v>
      </c>
      <c r="D114" s="222" t="s">
        <v>331</v>
      </c>
      <c r="E114" s="225">
        <f>IF(AND(E69=1, E73=1, E77=1), 3,
IF(OR(AND(E69=1, E73=1), AND(E69=1, E77=1), AND(E73=1, E77=1)), 2,
IF(OR(E69=1, E73=1, E77=1), 1, 0)))</f>
        <v>0</v>
      </c>
      <c r="F114" s="225">
        <v>170</v>
      </c>
      <c r="G114" s="262">
        <f>E114*F114</f>
        <v>0</v>
      </c>
      <c r="H114" s="251">
        <f>E114</f>
        <v>0</v>
      </c>
    </row>
    <row r="115" spans="1:26" ht="18" customHeight="1" thickTop="1" thickBot="1">
      <c r="A115" s="522" t="s">
        <v>334</v>
      </c>
      <c r="B115" s="523"/>
      <c r="C115" s="523"/>
      <c r="D115" s="523"/>
      <c r="E115" s="523"/>
      <c r="F115" s="523"/>
      <c r="G115" s="98">
        <f>SUM(G113:G114)</f>
        <v>0</v>
      </c>
      <c r="H115" s="251">
        <f>G115</f>
        <v>0</v>
      </c>
    </row>
    <row r="116" spans="1:26" ht="18" customHeight="1" thickTop="1">
      <c r="A116" s="53"/>
      <c r="B116" s="53"/>
      <c r="C116" s="53"/>
      <c r="D116" s="53"/>
      <c r="E116" s="53"/>
      <c r="F116" s="53"/>
      <c r="G116" s="70"/>
      <c r="H116" s="251">
        <f>SUM(H111:H115)</f>
        <v>0</v>
      </c>
      <c r="J116" s="79"/>
      <c r="K116" s="80"/>
      <c r="L116" s="80"/>
      <c r="M116" s="78"/>
      <c r="N116" s="78"/>
      <c r="P116" s="49"/>
      <c r="Q116" s="92"/>
      <c r="R116" s="92"/>
      <c r="S116" s="92"/>
      <c r="T116" s="69"/>
      <c r="U116" s="69"/>
      <c r="V116" s="93"/>
      <c r="W116" s="88"/>
      <c r="X116" s="89"/>
      <c r="Y116" s="89"/>
      <c r="Z116" s="69"/>
    </row>
    <row r="117" spans="1:26" ht="18.75" customHeight="1">
      <c r="A117" s="520" t="s">
        <v>336</v>
      </c>
      <c r="B117" s="521"/>
      <c r="C117" s="521"/>
      <c r="D117" s="521"/>
      <c r="E117" s="521"/>
      <c r="F117" s="521"/>
      <c r="G117" s="521"/>
      <c r="H117" s="251">
        <f>SUM(H119:H123)</f>
        <v>0</v>
      </c>
    </row>
    <row r="118" spans="1:26" ht="15" thickBot="1">
      <c r="A118" s="53"/>
      <c r="B118" s="53"/>
      <c r="C118" s="53"/>
      <c r="D118" s="53"/>
      <c r="E118" s="53"/>
      <c r="F118" s="53"/>
      <c r="G118" s="70"/>
      <c r="H118" s="251">
        <f>G123</f>
        <v>0</v>
      </c>
    </row>
    <row r="119" spans="1:26" ht="18" customHeight="1" thickTop="1">
      <c r="A119" s="6" t="s">
        <v>1</v>
      </c>
      <c r="B119" s="518"/>
      <c r="C119" s="518" t="s">
        <v>4</v>
      </c>
      <c r="D119" s="518" t="s">
        <v>5</v>
      </c>
      <c r="E119" s="518" t="s">
        <v>6</v>
      </c>
      <c r="F119" s="7" t="s">
        <v>7</v>
      </c>
      <c r="G119" s="8" t="s">
        <v>9</v>
      </c>
      <c r="H119" s="251">
        <f>G123</f>
        <v>0</v>
      </c>
    </row>
    <row r="120" spans="1:26" ht="18" customHeight="1" thickBot="1">
      <c r="A120" s="9" t="s">
        <v>2</v>
      </c>
      <c r="B120" s="519"/>
      <c r="C120" s="519"/>
      <c r="D120" s="519"/>
      <c r="E120" s="519"/>
      <c r="F120" s="10" t="s">
        <v>330</v>
      </c>
      <c r="G120" s="11" t="s">
        <v>330</v>
      </c>
      <c r="H120" s="251">
        <f>G123</f>
        <v>0</v>
      </c>
    </row>
    <row r="121" spans="1:26" ht="18" customHeight="1" thickTop="1" thickBot="1">
      <c r="A121" s="12"/>
      <c r="B121" s="3"/>
      <c r="C121" s="13" t="s">
        <v>329</v>
      </c>
      <c r="D121" s="3" t="s">
        <v>92</v>
      </c>
      <c r="E121" s="212">
        <f>'Calcul Folie+Placa Tacker'!A24</f>
        <v>0</v>
      </c>
      <c r="F121" s="150">
        <v>10</v>
      </c>
      <c r="G121" s="33">
        <f>E121*F121</f>
        <v>0</v>
      </c>
      <c r="H121" s="251">
        <f>E121</f>
        <v>0</v>
      </c>
    </row>
    <row r="122" spans="1:26" ht="18" customHeight="1" thickBot="1">
      <c r="A122" s="223"/>
      <c r="B122" s="224"/>
      <c r="C122" s="219" t="s">
        <v>333</v>
      </c>
      <c r="D122" s="227" t="s">
        <v>331</v>
      </c>
      <c r="E122" s="228">
        <f>IF(AND(E91=1, E95=1, E99=1), 3,
IF(OR(AND(E91=1, E95=1), AND(E91=1, E99=1), AND(E95=1, E99=1)), 2,
IF(OR(E91=1, E95=1, E99=1), 1, 0)))</f>
        <v>0</v>
      </c>
      <c r="F122" s="228">
        <v>120</v>
      </c>
      <c r="G122" s="263">
        <f>E122*F122</f>
        <v>0</v>
      </c>
      <c r="H122" s="251">
        <f>E122</f>
        <v>0</v>
      </c>
    </row>
    <row r="123" spans="1:26" ht="18" customHeight="1" thickTop="1" thickBot="1">
      <c r="A123" s="522" t="s">
        <v>334</v>
      </c>
      <c r="B123" s="523"/>
      <c r="C123" s="523"/>
      <c r="D123" s="523"/>
      <c r="E123" s="523"/>
      <c r="F123" s="523"/>
      <c r="G123" s="98">
        <f>SUM(G121:G122)</f>
        <v>0</v>
      </c>
      <c r="H123" s="251">
        <f>G123</f>
        <v>0</v>
      </c>
    </row>
    <row r="124" spans="1:26" ht="15" thickTop="1"/>
    <row r="126" spans="1:26" ht="18.75" customHeight="1">
      <c r="A126" s="544" t="s">
        <v>169</v>
      </c>
      <c r="B126" s="544"/>
      <c r="C126" s="544"/>
      <c r="D126" s="544"/>
      <c r="E126" s="544"/>
      <c r="F126" s="544"/>
      <c r="G126" s="544"/>
      <c r="H126" s="248" t="s">
        <v>83</v>
      </c>
    </row>
    <row r="127" spans="1:26" ht="16.5" customHeight="1">
      <c r="A127" s="559" t="s">
        <v>170</v>
      </c>
      <c r="B127" s="559"/>
      <c r="C127" s="559"/>
      <c r="D127" s="559"/>
      <c r="E127" s="559"/>
      <c r="F127" s="559"/>
      <c r="G127" s="559"/>
      <c r="H127" s="248" t="s">
        <v>83</v>
      </c>
    </row>
    <row r="128" spans="1:26" ht="27.75" customHeight="1">
      <c r="A128" s="559" t="s">
        <v>284</v>
      </c>
      <c r="B128" s="559"/>
      <c r="C128" s="559"/>
      <c r="D128" s="559"/>
      <c r="E128" s="559"/>
      <c r="F128" s="559"/>
      <c r="G128" s="559"/>
      <c r="H128" s="248" t="s">
        <v>83</v>
      </c>
    </row>
    <row r="129" spans="1:19" ht="15" customHeight="1">
      <c r="A129" s="559" t="s">
        <v>411</v>
      </c>
      <c r="B129" s="559"/>
      <c r="C129" s="559"/>
      <c r="D129" s="559"/>
      <c r="E129" s="559"/>
      <c r="F129" s="559"/>
      <c r="G129" s="559"/>
      <c r="H129" s="248" t="s">
        <v>83</v>
      </c>
      <c r="M129" t="s">
        <v>175</v>
      </c>
    </row>
    <row r="130" spans="1:19" ht="28.5" customHeight="1">
      <c r="A130" s="559" t="s">
        <v>328</v>
      </c>
      <c r="B130" s="559"/>
      <c r="C130" s="559"/>
      <c r="D130" s="559"/>
      <c r="E130" s="559"/>
      <c r="F130" s="559"/>
      <c r="G130" s="559"/>
      <c r="I130" s="558"/>
      <c r="J130" s="558"/>
      <c r="K130" s="558"/>
      <c r="L130" s="83"/>
      <c r="M130" s="84"/>
      <c r="N130" s="84"/>
      <c r="O130" s="51"/>
      <c r="P130" s="49"/>
      <c r="Q130" s="50"/>
      <c r="R130" s="50"/>
      <c r="S130" s="50"/>
    </row>
    <row r="131" spans="1:19" ht="27" customHeight="1">
      <c r="A131" s="559" t="s">
        <v>174</v>
      </c>
      <c r="B131" s="559"/>
      <c r="C131" s="559"/>
      <c r="D131" s="559"/>
      <c r="E131" s="559"/>
      <c r="F131" s="559"/>
      <c r="G131" s="559"/>
      <c r="H131" s="248" t="s">
        <v>83</v>
      </c>
    </row>
    <row r="132" spans="1:19" ht="16.5" customHeight="1">
      <c r="A132" s="16"/>
      <c r="B132" s="16"/>
      <c r="C132" s="16"/>
      <c r="D132" s="16"/>
      <c r="E132" s="16"/>
      <c r="F132" s="16"/>
      <c r="G132" s="16"/>
      <c r="H132" s="248" t="s">
        <v>83</v>
      </c>
    </row>
    <row r="133" spans="1:19">
      <c r="A133" s="560" t="s">
        <v>142</v>
      </c>
      <c r="B133" s="530"/>
      <c r="C133" s="530"/>
      <c r="G133" s="44"/>
      <c r="H133" s="248" t="s">
        <v>83</v>
      </c>
    </row>
    <row r="134" spans="1:19">
      <c r="A134" s="612" t="s">
        <v>141</v>
      </c>
      <c r="B134" s="612"/>
      <c r="C134" s="612"/>
      <c r="D134" s="45"/>
      <c r="G134" s="44"/>
      <c r="H134" s="248"/>
      <c r="K134" s="560"/>
      <c r="L134" s="560"/>
      <c r="M134" s="560"/>
      <c r="N134" s="560"/>
      <c r="O134" s="560"/>
      <c r="P134" s="560"/>
      <c r="Q134" s="560"/>
    </row>
    <row r="135" spans="1:19" ht="15" customHeight="1">
      <c r="A135" s="544" t="s">
        <v>56</v>
      </c>
      <c r="B135" s="544"/>
      <c r="C135" s="544"/>
      <c r="D135" s="544"/>
      <c r="E135" s="544"/>
      <c r="F135" s="544"/>
      <c r="G135" s="544"/>
      <c r="H135" s="248" t="s">
        <v>83</v>
      </c>
    </row>
    <row r="136" spans="1:19" ht="15" customHeight="1">
      <c r="A136" s="544" t="s">
        <v>93</v>
      </c>
      <c r="B136" s="544"/>
      <c r="C136" s="544"/>
      <c r="D136" s="544"/>
      <c r="E136" s="544"/>
      <c r="F136" s="544"/>
      <c r="G136" s="544"/>
      <c r="H136" s="248" t="s">
        <v>83</v>
      </c>
    </row>
    <row r="137" spans="1:19" ht="15" customHeight="1">
      <c r="A137" s="544" t="s">
        <v>57</v>
      </c>
      <c r="B137" s="544"/>
      <c r="C137" s="544"/>
      <c r="D137" s="544"/>
      <c r="E137" s="544"/>
      <c r="F137" s="544"/>
      <c r="G137" s="544"/>
      <c r="H137" s="248" t="s">
        <v>83</v>
      </c>
    </row>
    <row r="138" spans="1:19">
      <c r="A138" s="16"/>
      <c r="B138" s="15"/>
      <c r="C138" s="15"/>
      <c r="D138" s="15"/>
      <c r="E138" s="15"/>
      <c r="F138" s="15"/>
      <c r="G138" s="15"/>
      <c r="H138" s="248" t="s">
        <v>83</v>
      </c>
    </row>
    <row r="139" spans="1:19">
      <c r="A139" s="15"/>
      <c r="B139" s="21" t="s">
        <v>33</v>
      </c>
      <c r="C139" s="22"/>
      <c r="D139" s="22"/>
      <c r="E139" s="22"/>
      <c r="F139" s="22"/>
      <c r="G139" s="22"/>
      <c r="H139" s="248" t="s">
        <v>83</v>
      </c>
    </row>
    <row r="140" spans="1:19">
      <c r="A140" s="15"/>
      <c r="B140" s="23"/>
      <c r="C140" s="24"/>
      <c r="D140" s="24"/>
      <c r="E140" s="24"/>
      <c r="F140" s="24"/>
      <c r="G140" s="24"/>
      <c r="H140" s="248" t="s">
        <v>83</v>
      </c>
    </row>
    <row r="141" spans="1:19">
      <c r="A141" s="25"/>
      <c r="B141" s="26"/>
      <c r="C141" s="25"/>
      <c r="D141" s="25"/>
      <c r="E141" s="25"/>
      <c r="F141" s="25"/>
      <c r="G141" s="25"/>
      <c r="H141" s="248" t="s">
        <v>83</v>
      </c>
    </row>
    <row r="142" spans="1:19" ht="12" customHeight="1">
      <c r="A142" s="25"/>
      <c r="B142" s="26" t="s">
        <v>34</v>
      </c>
      <c r="C142" s="25"/>
      <c r="D142" s="25"/>
      <c r="E142" s="25"/>
      <c r="F142" s="25"/>
      <c r="G142" s="25"/>
      <c r="H142" s="248" t="s">
        <v>83</v>
      </c>
    </row>
  </sheetData>
  <autoFilter ref="H20:H123" xr:uid="{AFA1FD0B-83C7-4C64-AABF-8DA5360EC8B1}"/>
  <mergeCells count="71">
    <mergeCell ref="A7:C7"/>
    <mergeCell ref="A1:C1"/>
    <mergeCell ref="A3:C3"/>
    <mergeCell ref="A4:C4"/>
    <mergeCell ref="A5:C5"/>
    <mergeCell ref="A6:C6"/>
    <mergeCell ref="A24:F24"/>
    <mergeCell ref="A54:D54"/>
    <mergeCell ref="A55:D55"/>
    <mergeCell ref="A56:D56"/>
    <mergeCell ref="A21:C21"/>
    <mergeCell ref="A9:G9"/>
    <mergeCell ref="A10:G10"/>
    <mergeCell ref="A11:C11"/>
    <mergeCell ref="A18:G18"/>
    <mergeCell ref="B19:B20"/>
    <mergeCell ref="C19:C20"/>
    <mergeCell ref="D19:D20"/>
    <mergeCell ref="E19:E20"/>
    <mergeCell ref="A68:C68"/>
    <mergeCell ref="A72:C72"/>
    <mergeCell ref="A76:C76"/>
    <mergeCell ref="A61:G61"/>
    <mergeCell ref="A63:G63"/>
    <mergeCell ref="A64:G64"/>
    <mergeCell ref="B66:B67"/>
    <mergeCell ref="C66:C67"/>
    <mergeCell ref="D66:D67"/>
    <mergeCell ref="E66:E67"/>
    <mergeCell ref="I99:I110"/>
    <mergeCell ref="O99:O110"/>
    <mergeCell ref="A80:F80"/>
    <mergeCell ref="A81:D81"/>
    <mergeCell ref="A82:F82"/>
    <mergeCell ref="A85:G85"/>
    <mergeCell ref="A86:G86"/>
    <mergeCell ref="B88:B89"/>
    <mergeCell ref="C88:C89"/>
    <mergeCell ref="D88:D89"/>
    <mergeCell ref="E88:E89"/>
    <mergeCell ref="A90:C90"/>
    <mergeCell ref="A94:C94"/>
    <mergeCell ref="A98:C98"/>
    <mergeCell ref="A102:F102"/>
    <mergeCell ref="A103:D103"/>
    <mergeCell ref="A104:F104"/>
    <mergeCell ref="A109:G109"/>
    <mergeCell ref="B111:B112"/>
    <mergeCell ref="C111:C112"/>
    <mergeCell ref="D111:D112"/>
    <mergeCell ref="E111:E112"/>
    <mergeCell ref="A123:F123"/>
    <mergeCell ref="A126:G126"/>
    <mergeCell ref="A127:G127"/>
    <mergeCell ref="A128:G128"/>
    <mergeCell ref="A115:F115"/>
    <mergeCell ref="A117:G117"/>
    <mergeCell ref="B119:B120"/>
    <mergeCell ref="C119:C120"/>
    <mergeCell ref="D119:D120"/>
    <mergeCell ref="E119:E120"/>
    <mergeCell ref="A129:G129"/>
    <mergeCell ref="A130:G130"/>
    <mergeCell ref="I130:K130"/>
    <mergeCell ref="A131:G131"/>
    <mergeCell ref="A133:C133"/>
    <mergeCell ref="A134:C134"/>
    <mergeCell ref="K134:Q134"/>
    <mergeCell ref="A135:G135"/>
    <mergeCell ref="A136:G136"/>
    <mergeCell ref="A137:G137"/>
  </mergeCells>
  <hyperlinks>
    <hyperlink ref="B142" r:id="rId1" xr:uid="{5047F51C-F8C5-42AB-8AE0-1EB522B01B11}"/>
    <hyperlink ref="A134" r:id="rId2" tooltip="Producator Magnum " xr:uid="{90F95F35-E27B-47DC-B11B-5E19ED3385AF}"/>
  </hyperlinks>
  <pageMargins left="0.70866141732283505" right="0.23622047244094499" top="1.14173228346457" bottom="1.1599999999999999" header="0.196850393700787" footer="0.15748031496063"/>
  <pageSetup paperSize="9" scale="83" orientation="portrait" r:id="rId3"/>
  <headerFooter scaleWithDoc="0" alignWithMargins="0">
    <oddHeader>&amp;L&amp;G&amp;R&amp;G</oddHeader>
    <oddFooter xml:space="preserve">&amp;L
RO33404978
J40/8589/2014
RO56INGB0000999915150915
ING BANK NV&amp;CStr. Învingătorilor nr. 27, Sector 3, București
Tel :  (+4) 0314.361.836
Mobil:  (+4) 0724.204.888
             (+4) 0766.367.287&amp;REmail: 
comercial@magnumheating.ro
</oddFooter>
  </headerFooter>
  <colBreaks count="1" manualBreakCount="1">
    <brk id="7" max="1048575" man="1"/>
  </colBreaks>
  <drawing r:id="rId4"/>
  <legacyDrawingHF r:id="rId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AF4AF4-9C00-4070-9995-C9271F1B31AC}">
  <sheetPr>
    <tabColor rgb="FF66FF33"/>
  </sheetPr>
  <dimension ref="A1:AG189"/>
  <sheetViews>
    <sheetView zoomScaleNormal="100" zoomScaleSheetLayoutView="100" workbookViewId="0">
      <selection activeCell="AG13" sqref="AG13"/>
    </sheetView>
  </sheetViews>
  <sheetFormatPr defaultRowHeight="14.4"/>
  <cols>
    <col min="1" max="1" width="16.109375" customWidth="1"/>
    <col min="2" max="2" width="8.109375" customWidth="1"/>
    <col min="3" max="3" width="9.5546875" customWidth="1"/>
    <col min="4" max="4" width="10.88671875" customWidth="1"/>
    <col min="5" max="5" width="8.6640625" customWidth="1"/>
    <col min="6" max="6" width="9.44140625" customWidth="1"/>
    <col min="7" max="7" width="8.88671875" customWidth="1"/>
    <col min="8" max="8" width="8.109375" customWidth="1"/>
    <col min="9" max="9" width="11.33203125" customWidth="1"/>
    <col min="10" max="10" width="9.5546875" customWidth="1"/>
    <col min="11" max="11" width="10.5546875" customWidth="1"/>
    <col min="12" max="12" width="12.44140625" customWidth="1"/>
    <col min="13" max="13" width="8.33203125" customWidth="1"/>
    <col min="14" max="14" width="9.44140625" customWidth="1"/>
    <col min="15" max="15" width="9.33203125" customWidth="1"/>
    <col min="16" max="16" width="8.88671875" customWidth="1"/>
    <col min="17" max="17" width="4.109375" hidden="1" customWidth="1"/>
    <col min="18" max="18" width="3.33203125" hidden="1" customWidth="1"/>
    <col min="19" max="19" width="7.44140625" customWidth="1"/>
    <col min="20" max="20" width="8.88671875" hidden="1" customWidth="1"/>
    <col min="21" max="21" width="9" customWidth="1"/>
    <col min="22" max="22" width="10.88671875" customWidth="1"/>
    <col min="23" max="23" width="11.44140625" customWidth="1"/>
    <col min="28" max="29" width="0" hidden="1" customWidth="1"/>
    <col min="31" max="31" width="0" hidden="1" customWidth="1"/>
    <col min="33" max="33" width="10.5546875" customWidth="1"/>
  </cols>
  <sheetData>
    <row r="1" spans="1:33" ht="23.25" customHeight="1" thickTop="1" thickBot="1">
      <c r="A1" s="615" t="s">
        <v>252</v>
      </c>
      <c r="B1" s="616"/>
      <c r="C1" s="616"/>
      <c r="D1" s="616"/>
      <c r="E1" s="616"/>
      <c r="F1" s="177"/>
      <c r="G1" s="177"/>
      <c r="H1" s="177"/>
      <c r="I1" s="177"/>
      <c r="J1" s="177"/>
      <c r="K1" s="54"/>
      <c r="L1" s="617" t="s">
        <v>251</v>
      </c>
      <c r="M1" s="618"/>
      <c r="N1" s="618"/>
      <c r="O1" s="618"/>
      <c r="P1" s="619"/>
      <c r="Q1" s="177"/>
      <c r="R1" s="177"/>
      <c r="S1" s="177"/>
      <c r="T1" s="177"/>
      <c r="U1" s="177"/>
      <c r="W1" s="626" t="s">
        <v>337</v>
      </c>
      <c r="X1" s="627"/>
      <c r="Y1" s="627"/>
      <c r="Z1" s="627"/>
      <c r="AA1" s="628"/>
      <c r="AB1" s="177"/>
      <c r="AC1" s="177"/>
      <c r="AD1" s="177"/>
      <c r="AE1" s="177"/>
      <c r="AF1" s="177"/>
    </row>
    <row r="2" spans="1:33" ht="21" customHeight="1" thickTop="1" thickBot="1">
      <c r="A2" s="581" t="s">
        <v>398</v>
      </c>
      <c r="B2" s="582"/>
      <c r="C2" s="582"/>
      <c r="D2" s="582"/>
      <c r="E2" s="582"/>
      <c r="F2" s="620"/>
      <c r="G2" s="621"/>
      <c r="H2" s="621"/>
      <c r="I2" s="621"/>
      <c r="J2" s="621"/>
      <c r="K2" s="151"/>
      <c r="L2" s="622" t="s">
        <v>398</v>
      </c>
      <c r="M2" s="623"/>
      <c r="N2" s="623"/>
      <c r="O2" s="623"/>
      <c r="P2" s="624"/>
      <c r="Q2" s="625"/>
      <c r="R2" s="620"/>
      <c r="S2" s="620"/>
      <c r="T2" s="620"/>
      <c r="U2" s="620"/>
      <c r="W2" s="622" t="s">
        <v>398</v>
      </c>
      <c r="X2" s="623"/>
      <c r="Y2" s="623"/>
      <c r="Z2" s="623"/>
      <c r="AA2" s="624"/>
      <c r="AB2" s="625"/>
      <c r="AC2" s="620"/>
      <c r="AD2" s="620"/>
      <c r="AE2" s="620"/>
      <c r="AF2" s="620"/>
    </row>
    <row r="3" spans="1:33" ht="38.25" customHeight="1" thickTop="1" thickBot="1">
      <c r="A3" s="55"/>
      <c r="B3" s="55" t="s">
        <v>144</v>
      </c>
      <c r="C3" s="55" t="s">
        <v>158</v>
      </c>
      <c r="D3" s="55" t="s">
        <v>226</v>
      </c>
      <c r="E3" s="55" t="s">
        <v>223</v>
      </c>
      <c r="F3" s="56"/>
      <c r="G3" s="56"/>
      <c r="H3" s="56"/>
      <c r="I3" s="152" t="s">
        <v>222</v>
      </c>
      <c r="J3" s="56"/>
      <c r="K3" s="56"/>
      <c r="L3" s="55"/>
      <c r="M3" s="55" t="s">
        <v>144</v>
      </c>
      <c r="N3" s="55" t="s">
        <v>158</v>
      </c>
      <c r="O3" s="55" t="s">
        <v>227</v>
      </c>
      <c r="P3" s="55" t="s">
        <v>223</v>
      </c>
      <c r="Q3" s="56"/>
      <c r="R3" s="56"/>
      <c r="S3" s="56"/>
      <c r="T3" s="56"/>
      <c r="U3" s="56"/>
      <c r="V3" s="56"/>
      <c r="W3" s="55"/>
      <c r="X3" s="55" t="s">
        <v>144</v>
      </c>
      <c r="Y3" s="55" t="s">
        <v>158</v>
      </c>
      <c r="Z3" s="55" t="s">
        <v>227</v>
      </c>
      <c r="AA3" s="55" t="s">
        <v>223</v>
      </c>
      <c r="AB3" s="56"/>
      <c r="AC3" s="56"/>
      <c r="AD3" s="56"/>
      <c r="AE3" s="56"/>
      <c r="AF3" s="56"/>
      <c r="AG3" s="56"/>
    </row>
    <row r="4" spans="1:33" ht="15.9" customHeight="1" thickTop="1" thickBot="1">
      <c r="A4" s="57" t="s">
        <v>146</v>
      </c>
      <c r="B4" s="58"/>
      <c r="C4" s="141">
        <f>B4*9.5</f>
        <v>0</v>
      </c>
      <c r="D4" s="142">
        <f t="shared" ref="D4:D19" si="0">(ROUNDUP(C4/104,0))</f>
        <v>0</v>
      </c>
      <c r="E4" s="55" t="str">
        <f>IF(AND(ISNUMBER(SEARCH("living",A4)),D4&gt;0),1,IF(AND(ISNUMBER(SEARCH("dining",A4)),D4&gt;0),1,IF(AND(ISNUMBER(SEARCH("bucatarie",A4)),D4&gt;0),1,IF(AND(ISNUMBER(SEARCH("dormitor",A4)),D4&gt;0),1,IF(AND(ISNUMBER(SEARCH("birou",A4)),D4&gt;0),1,IF(AND(ISNUMBER(SEARCH("baie",A4)),D4&gt;0),1,IF(AND(ISNUMBER(SEARCH("liv.+dining",A4)),D4&gt;0),1,IF(AND(ISNUMBER(SEARCH("camera",A4)),D4&gt;0),1,""))))))))</f>
        <v/>
      </c>
      <c r="F4" s="187"/>
      <c r="G4" s="180"/>
      <c r="H4" s="188"/>
      <c r="I4" s="55" t="s">
        <v>146</v>
      </c>
      <c r="J4" s="56"/>
      <c r="K4" s="56"/>
      <c r="L4" s="57" t="s">
        <v>146</v>
      </c>
      <c r="M4" s="58"/>
      <c r="N4" s="141">
        <f>M4*9.5</f>
        <v>0</v>
      </c>
      <c r="O4" s="142">
        <f>(ROUNDUP(N4/104,0))</f>
        <v>0</v>
      </c>
      <c r="P4" s="55" t="str">
        <f>IF(AND(ISNUMBER(SEARCH("living",L4)),O4&gt;0),1,IF(AND(ISNUMBER(SEARCH("dining",L4)),O4&gt;0),1,IF(AND(ISNUMBER(SEARCH("bucatarie",L4)),O4&gt;0),1,IF(AND(ISNUMBER(SEARCH("dormitor",L4)),O4&gt;0),1,IF(AND(ISNUMBER(SEARCH("birou",L4)),O4&gt;0),1,IF(AND(ISNUMBER(SEARCH("baie",L4)),O4&gt;0),1,IF(AND(ISNUMBER(SEARCH("liv.+dining",L4)),O4&gt;0),1,IF(AND(ISNUMBER(SEARCH("camera",L4)),O4&gt;0),1,""))))))))</f>
        <v/>
      </c>
      <c r="Q4" s="187"/>
      <c r="R4" s="180"/>
      <c r="S4" s="188"/>
      <c r="T4" s="189"/>
      <c r="U4" s="56"/>
      <c r="V4" s="56"/>
      <c r="W4" s="57" t="s">
        <v>146</v>
      </c>
      <c r="X4" s="58"/>
      <c r="Y4" s="141">
        <f t="shared" ref="Y4:Y19" si="1">X4*9.5</f>
        <v>0</v>
      </c>
      <c r="Z4" s="142">
        <f>(ROUNDUP(Y4/104,0))</f>
        <v>0</v>
      </c>
      <c r="AA4" s="55" t="str">
        <f>IF(AND(ISNUMBER(SEARCH("living",W4)),Z4&gt;0),1,IF(AND(ISNUMBER(SEARCH("dining",W4)),Z4&gt;0),1,IF(AND(ISNUMBER(SEARCH("bucatarie",W4)),Z4&gt;0),1,IF(AND(ISNUMBER(SEARCH("dormitor",W4)),Z4&gt;0),1,IF(AND(ISNUMBER(SEARCH("birou",W4)),Z4&gt;0),1,IF(AND(ISNUMBER(SEARCH("baie",W4)),Z4&gt;0),1,IF(AND(ISNUMBER(SEARCH("liv.+dining",W4)),Z4&gt;0),1,IF(AND(ISNUMBER(SEARCH("camera",W4)),Z4&gt;0),1,""))))))))</f>
        <v/>
      </c>
      <c r="AB4" s="187"/>
      <c r="AC4" s="180"/>
      <c r="AD4" s="188"/>
      <c r="AE4" s="189"/>
      <c r="AF4" s="56"/>
      <c r="AG4" s="56"/>
    </row>
    <row r="5" spans="1:33" ht="15.9" customHeight="1" thickTop="1" thickBot="1">
      <c r="A5" s="57" t="s">
        <v>147</v>
      </c>
      <c r="B5" s="58"/>
      <c r="C5" s="141">
        <f t="shared" ref="C5:C19" si="2">B5*9.5</f>
        <v>0</v>
      </c>
      <c r="D5" s="142">
        <f t="shared" si="0"/>
        <v>0</v>
      </c>
      <c r="E5" s="55" t="str">
        <f t="shared" ref="E5:E19" si="3">IF(AND(ISNUMBER(SEARCH("living",A5)),D5&gt;0),1,IF(AND(ISNUMBER(SEARCH("dining",A5)),D5&gt;0),1,IF(AND(ISNUMBER(SEARCH("bucatarie",A5)),D5&gt;0),1,IF(AND(ISNUMBER(SEARCH("dormitor",A5)),D5&gt;0),1,IF(AND(ISNUMBER(SEARCH("birou",A5)),D5&gt;0),1,IF(AND(ISNUMBER(SEARCH("baie",A5)),D5&gt;0),1,IF(AND(ISNUMBER(SEARCH("liv.+dining",A5)),D5&gt;0),1,IF(AND(ISNUMBER(SEARCH("camera",A5)),D5&gt;0),1,""))))))))</f>
        <v/>
      </c>
      <c r="F5" s="187"/>
      <c r="G5" s="180"/>
      <c r="H5" s="188"/>
      <c r="I5" s="55" t="s">
        <v>147</v>
      </c>
      <c r="J5" s="56"/>
      <c r="K5" s="56"/>
      <c r="L5" s="57" t="s">
        <v>147</v>
      </c>
      <c r="M5" s="58"/>
      <c r="N5" s="141">
        <f t="shared" ref="N5:N19" si="4">M5*9.5</f>
        <v>0</v>
      </c>
      <c r="O5" s="142">
        <f t="shared" ref="O5:O18" si="5">(ROUNDUP(N5/104,0))</f>
        <v>0</v>
      </c>
      <c r="P5" s="55" t="str">
        <f t="shared" ref="P5:P19" si="6">IF(AND(ISNUMBER(SEARCH("living",L5)),O5&gt;0),1,IF(AND(ISNUMBER(SEARCH("dining",L5)),O5&gt;0),1,IF(AND(ISNUMBER(SEARCH("bucatarie",L5)),O5&gt;0),1,IF(AND(ISNUMBER(SEARCH("dormitor",L5)),O5&gt;0),1,IF(AND(ISNUMBER(SEARCH("birou",L5)),O5&gt;0),1,IF(AND(ISNUMBER(SEARCH("baie",L5)),O5&gt;0),1,IF(AND(ISNUMBER(SEARCH("liv.+dining",L5)),O5&gt;0),1,IF(AND(ISNUMBER(SEARCH("camera",L5)),O5&gt;0),1,""))))))))</f>
        <v/>
      </c>
      <c r="Q5" s="187"/>
      <c r="R5" s="180"/>
      <c r="S5" s="188"/>
      <c r="T5" s="189"/>
      <c r="U5" s="56"/>
      <c r="V5" s="56"/>
      <c r="W5" s="57" t="s">
        <v>146</v>
      </c>
      <c r="X5" s="58"/>
      <c r="Y5" s="141">
        <f t="shared" si="1"/>
        <v>0</v>
      </c>
      <c r="Z5" s="142">
        <f t="shared" ref="Z5:Z19" si="7">(ROUNDUP(Y5/104,0))</f>
        <v>0</v>
      </c>
      <c r="AA5" s="55" t="str">
        <f t="shared" ref="AA5:AA19" si="8">IF(AND(ISNUMBER(SEARCH("living",W5)),Z5&gt;0),1,IF(AND(ISNUMBER(SEARCH("dining",W5)),Z5&gt;0),1,IF(AND(ISNUMBER(SEARCH("bucatarie",W5)),Z5&gt;0),1,IF(AND(ISNUMBER(SEARCH("dormitor",W5)),Z5&gt;0),1,IF(AND(ISNUMBER(SEARCH("birou",W5)),Z5&gt;0),1,IF(AND(ISNUMBER(SEARCH("baie",W5)),Z5&gt;0),1,IF(AND(ISNUMBER(SEARCH("liv.+dining",W5)),Z5&gt;0),1,IF(AND(ISNUMBER(SEARCH("camera",W5)),Z5&gt;0),1,""))))))))</f>
        <v/>
      </c>
      <c r="AB5" s="187"/>
      <c r="AC5" s="180"/>
      <c r="AD5" s="188"/>
      <c r="AE5" s="189"/>
      <c r="AF5" s="56"/>
      <c r="AG5" s="56"/>
    </row>
    <row r="6" spans="1:33" ht="15.9" customHeight="1" thickTop="1" thickBot="1">
      <c r="A6" s="57" t="s">
        <v>149</v>
      </c>
      <c r="B6" s="58"/>
      <c r="C6" s="141">
        <f t="shared" si="2"/>
        <v>0</v>
      </c>
      <c r="D6" s="142">
        <f t="shared" si="0"/>
        <v>0</v>
      </c>
      <c r="E6" s="55" t="str">
        <f t="shared" si="3"/>
        <v/>
      </c>
      <c r="F6" s="187"/>
      <c r="G6" s="180"/>
      <c r="H6" s="188"/>
      <c r="I6" s="55" t="s">
        <v>148</v>
      </c>
      <c r="J6" s="56"/>
      <c r="K6" s="56"/>
      <c r="L6" s="57" t="s">
        <v>149</v>
      </c>
      <c r="M6" s="58"/>
      <c r="N6" s="141">
        <f t="shared" si="4"/>
        <v>0</v>
      </c>
      <c r="O6" s="142">
        <f t="shared" si="5"/>
        <v>0</v>
      </c>
      <c r="P6" s="55" t="str">
        <f t="shared" si="6"/>
        <v/>
      </c>
      <c r="Q6" s="187"/>
      <c r="R6" s="180"/>
      <c r="S6" s="188"/>
      <c r="T6" s="189"/>
      <c r="U6" s="56"/>
      <c r="V6" s="56"/>
      <c r="W6" s="57" t="s">
        <v>147</v>
      </c>
      <c r="X6" s="58"/>
      <c r="Y6" s="141">
        <f t="shared" si="1"/>
        <v>0</v>
      </c>
      <c r="Z6" s="142">
        <f t="shared" si="7"/>
        <v>0</v>
      </c>
      <c r="AA6" s="55" t="str">
        <f t="shared" si="8"/>
        <v/>
      </c>
      <c r="AB6" s="187"/>
      <c r="AC6" s="180"/>
      <c r="AD6" s="188"/>
      <c r="AE6" s="189"/>
      <c r="AF6" s="56"/>
      <c r="AG6" s="56"/>
    </row>
    <row r="7" spans="1:33" ht="15.9" customHeight="1" thickTop="1" thickBot="1">
      <c r="A7" s="57" t="s">
        <v>148</v>
      </c>
      <c r="B7" s="58"/>
      <c r="C7" s="141">
        <f t="shared" si="2"/>
        <v>0</v>
      </c>
      <c r="D7" s="142">
        <f t="shared" si="0"/>
        <v>0</v>
      </c>
      <c r="E7" s="55" t="str">
        <f t="shared" si="3"/>
        <v/>
      </c>
      <c r="F7" s="187"/>
      <c r="G7" s="180"/>
      <c r="H7" s="188"/>
      <c r="I7" s="55" t="s">
        <v>149</v>
      </c>
      <c r="J7" s="56"/>
      <c r="K7" s="56"/>
      <c r="L7" s="57" t="s">
        <v>148</v>
      </c>
      <c r="M7" s="58"/>
      <c r="N7" s="141">
        <f t="shared" si="4"/>
        <v>0</v>
      </c>
      <c r="O7" s="142">
        <f t="shared" si="5"/>
        <v>0</v>
      </c>
      <c r="P7" s="55" t="str">
        <f t="shared" si="6"/>
        <v/>
      </c>
      <c r="Q7" s="187"/>
      <c r="R7" s="180"/>
      <c r="S7" s="188"/>
      <c r="T7" s="189"/>
      <c r="U7" s="56"/>
      <c r="V7" s="56"/>
      <c r="W7" s="57" t="s">
        <v>148</v>
      </c>
      <c r="X7" s="58"/>
      <c r="Y7" s="141">
        <f t="shared" si="1"/>
        <v>0</v>
      </c>
      <c r="Z7" s="142">
        <f t="shared" si="7"/>
        <v>0</v>
      </c>
      <c r="AA7" s="55" t="str">
        <f t="shared" si="8"/>
        <v/>
      </c>
      <c r="AB7" s="187"/>
      <c r="AC7" s="180"/>
      <c r="AD7" s="188"/>
      <c r="AE7" s="189"/>
      <c r="AF7" s="56"/>
      <c r="AG7" s="56"/>
    </row>
    <row r="8" spans="1:33" ht="15.9" customHeight="1" thickTop="1" thickBot="1">
      <c r="A8" s="57" t="s">
        <v>258</v>
      </c>
      <c r="B8" s="58"/>
      <c r="C8" s="141">
        <f t="shared" si="2"/>
        <v>0</v>
      </c>
      <c r="D8" s="142">
        <f t="shared" si="0"/>
        <v>0</v>
      </c>
      <c r="E8" s="55" t="str">
        <f t="shared" si="3"/>
        <v/>
      </c>
      <c r="F8" s="187"/>
      <c r="G8" s="180"/>
      <c r="H8" s="188"/>
      <c r="I8" s="55" t="s">
        <v>154</v>
      </c>
      <c r="J8" s="56"/>
      <c r="K8" s="56"/>
      <c r="L8" s="57" t="s">
        <v>258</v>
      </c>
      <c r="M8" s="58"/>
      <c r="N8" s="141">
        <f t="shared" si="4"/>
        <v>0</v>
      </c>
      <c r="O8" s="142">
        <f t="shared" si="5"/>
        <v>0</v>
      </c>
      <c r="P8" s="55" t="str">
        <f t="shared" si="6"/>
        <v/>
      </c>
      <c r="Q8" s="187"/>
      <c r="R8" s="180"/>
      <c r="S8" s="188"/>
      <c r="T8" s="189"/>
      <c r="U8" s="56"/>
      <c r="V8" s="56"/>
      <c r="W8" s="57" t="s">
        <v>146</v>
      </c>
      <c r="X8" s="58"/>
      <c r="Y8" s="141">
        <f t="shared" si="1"/>
        <v>0</v>
      </c>
      <c r="Z8" s="142">
        <f t="shared" si="7"/>
        <v>0</v>
      </c>
      <c r="AA8" s="55" t="str">
        <f t="shared" si="8"/>
        <v/>
      </c>
      <c r="AB8" s="187"/>
      <c r="AC8" s="180"/>
      <c r="AD8" s="188"/>
      <c r="AE8" s="189"/>
      <c r="AF8" s="56"/>
      <c r="AG8" s="56"/>
    </row>
    <row r="9" spans="1:33" ht="15.9" customHeight="1" thickTop="1" thickBot="1">
      <c r="A9" s="57" t="s">
        <v>266</v>
      </c>
      <c r="B9" s="58"/>
      <c r="C9" s="141">
        <f t="shared" si="2"/>
        <v>0</v>
      </c>
      <c r="D9" s="142">
        <f t="shared" si="0"/>
        <v>0</v>
      </c>
      <c r="E9" s="55" t="str">
        <f t="shared" si="3"/>
        <v/>
      </c>
      <c r="F9" s="187"/>
      <c r="G9" s="180"/>
      <c r="H9" s="188"/>
      <c r="I9" s="55" t="s">
        <v>155</v>
      </c>
      <c r="J9" s="56"/>
      <c r="K9" s="56"/>
      <c r="L9" s="57" t="s">
        <v>266</v>
      </c>
      <c r="M9" s="58"/>
      <c r="N9" s="141">
        <f t="shared" si="4"/>
        <v>0</v>
      </c>
      <c r="O9" s="142">
        <f t="shared" si="5"/>
        <v>0</v>
      </c>
      <c r="P9" s="55" t="str">
        <f t="shared" si="6"/>
        <v/>
      </c>
      <c r="Q9" s="187"/>
      <c r="R9" s="180"/>
      <c r="S9" s="188"/>
      <c r="T9" s="189"/>
      <c r="U9" s="56"/>
      <c r="V9" s="56"/>
      <c r="W9" s="57" t="s">
        <v>153</v>
      </c>
      <c r="X9" s="58"/>
      <c r="Y9" s="141">
        <f t="shared" si="1"/>
        <v>0</v>
      </c>
      <c r="Z9" s="142">
        <f t="shared" si="7"/>
        <v>0</v>
      </c>
      <c r="AA9" s="55" t="str">
        <f t="shared" si="8"/>
        <v/>
      </c>
      <c r="AB9" s="187"/>
      <c r="AC9" s="180"/>
      <c r="AD9" s="188"/>
      <c r="AE9" s="189"/>
      <c r="AF9" s="56"/>
      <c r="AG9" s="56"/>
    </row>
    <row r="10" spans="1:33" ht="15.9" customHeight="1" thickTop="1" thickBot="1">
      <c r="A10" s="60" t="s">
        <v>259</v>
      </c>
      <c r="B10" s="58"/>
      <c r="C10" s="141">
        <f t="shared" si="2"/>
        <v>0</v>
      </c>
      <c r="D10" s="142">
        <f t="shared" si="0"/>
        <v>0</v>
      </c>
      <c r="E10" s="55" t="str">
        <f t="shared" si="3"/>
        <v/>
      </c>
      <c r="F10" s="179"/>
      <c r="G10" s="180"/>
      <c r="H10" s="188"/>
      <c r="I10" s="55" t="s">
        <v>152</v>
      </c>
      <c r="J10" s="56"/>
      <c r="K10" s="56"/>
      <c r="L10" s="60" t="s">
        <v>259</v>
      </c>
      <c r="M10" s="58"/>
      <c r="N10" s="141">
        <f t="shared" si="4"/>
        <v>0</v>
      </c>
      <c r="O10" s="142">
        <f t="shared" si="5"/>
        <v>0</v>
      </c>
      <c r="P10" s="55" t="str">
        <f t="shared" si="6"/>
        <v/>
      </c>
      <c r="Q10" s="179"/>
      <c r="R10" s="180"/>
      <c r="S10" s="188"/>
      <c r="T10" s="189"/>
      <c r="U10" s="56"/>
      <c r="V10" s="56"/>
      <c r="W10" s="60" t="s">
        <v>150</v>
      </c>
      <c r="X10" s="58"/>
      <c r="Y10" s="141">
        <f t="shared" si="1"/>
        <v>0</v>
      </c>
      <c r="Z10" s="142">
        <f t="shared" si="7"/>
        <v>0</v>
      </c>
      <c r="AA10" s="55" t="str">
        <f t="shared" si="8"/>
        <v/>
      </c>
      <c r="AB10" s="179"/>
      <c r="AC10" s="180"/>
      <c r="AD10" s="188"/>
      <c r="AE10" s="189"/>
      <c r="AF10" s="56"/>
      <c r="AG10" s="56"/>
    </row>
    <row r="11" spans="1:33" ht="15.9" customHeight="1" thickTop="1" thickBot="1">
      <c r="A11" s="60" t="s">
        <v>263</v>
      </c>
      <c r="B11" s="58"/>
      <c r="C11" s="141">
        <f t="shared" si="2"/>
        <v>0</v>
      </c>
      <c r="D11" s="142">
        <f t="shared" si="0"/>
        <v>0</v>
      </c>
      <c r="E11" s="55" t="str">
        <f t="shared" si="3"/>
        <v/>
      </c>
      <c r="F11" s="179"/>
      <c r="G11" s="180"/>
      <c r="H11" s="188"/>
      <c r="I11" s="55" t="s">
        <v>221</v>
      </c>
      <c r="J11" s="56"/>
      <c r="K11" s="56"/>
      <c r="L11" s="60" t="s">
        <v>263</v>
      </c>
      <c r="M11" s="58"/>
      <c r="N11" s="141">
        <f t="shared" si="4"/>
        <v>0</v>
      </c>
      <c r="O11" s="142">
        <f t="shared" si="5"/>
        <v>0</v>
      </c>
      <c r="P11" s="55" t="str">
        <f t="shared" si="6"/>
        <v/>
      </c>
      <c r="Q11" s="179"/>
      <c r="R11" s="180"/>
      <c r="S11" s="188"/>
      <c r="T11" s="189"/>
      <c r="U11" s="56"/>
      <c r="V11" s="56"/>
      <c r="W11" s="60" t="s">
        <v>151</v>
      </c>
      <c r="X11" s="58"/>
      <c r="Y11" s="141">
        <f t="shared" si="1"/>
        <v>0</v>
      </c>
      <c r="Z11" s="142">
        <f t="shared" si="7"/>
        <v>0</v>
      </c>
      <c r="AA11" s="55" t="str">
        <f t="shared" si="8"/>
        <v/>
      </c>
      <c r="AB11" s="179"/>
      <c r="AC11" s="180"/>
      <c r="AD11" s="188"/>
      <c r="AE11" s="189"/>
      <c r="AF11" s="56"/>
      <c r="AG11" s="56"/>
    </row>
    <row r="12" spans="1:33" ht="15.9" customHeight="1" thickTop="1" thickBot="1">
      <c r="A12" s="60" t="s">
        <v>388</v>
      </c>
      <c r="B12" s="58"/>
      <c r="C12" s="141">
        <f t="shared" si="2"/>
        <v>0</v>
      </c>
      <c r="D12" s="142">
        <f t="shared" si="0"/>
        <v>0</v>
      </c>
      <c r="E12" s="55" t="str">
        <f t="shared" si="3"/>
        <v/>
      </c>
      <c r="F12" s="179"/>
      <c r="G12" s="180"/>
      <c r="H12" s="188"/>
      <c r="I12" s="189"/>
      <c r="J12" s="56"/>
      <c r="K12" s="56"/>
      <c r="L12" s="60" t="s">
        <v>388</v>
      </c>
      <c r="M12" s="58"/>
      <c r="N12" s="141">
        <f t="shared" si="4"/>
        <v>0</v>
      </c>
      <c r="O12" s="142">
        <f t="shared" si="5"/>
        <v>0</v>
      </c>
      <c r="P12" s="55" t="str">
        <f t="shared" si="6"/>
        <v/>
      </c>
      <c r="Q12" s="179"/>
      <c r="R12" s="180"/>
      <c r="S12" s="188"/>
      <c r="T12" s="189"/>
      <c r="U12" s="56"/>
      <c r="V12" s="56"/>
      <c r="W12" s="60" t="s">
        <v>221</v>
      </c>
      <c r="X12" s="58"/>
      <c r="Y12" s="141">
        <f t="shared" si="1"/>
        <v>0</v>
      </c>
      <c r="Z12" s="142">
        <f t="shared" si="7"/>
        <v>0</v>
      </c>
      <c r="AA12" s="55" t="str">
        <f t="shared" si="8"/>
        <v/>
      </c>
      <c r="AB12" s="179"/>
      <c r="AC12" s="180"/>
      <c r="AD12" s="188"/>
      <c r="AE12" s="189"/>
      <c r="AF12" s="56"/>
      <c r="AG12" s="56"/>
    </row>
    <row r="13" spans="1:33" ht="15.9" customHeight="1" thickTop="1" thickBot="1">
      <c r="A13" s="60" t="s">
        <v>152</v>
      </c>
      <c r="B13" s="58"/>
      <c r="C13" s="141">
        <f t="shared" si="2"/>
        <v>0</v>
      </c>
      <c r="D13" s="142">
        <f t="shared" si="0"/>
        <v>0</v>
      </c>
      <c r="E13" s="55" t="str">
        <f t="shared" si="3"/>
        <v/>
      </c>
      <c r="F13" s="179"/>
      <c r="G13" s="180"/>
      <c r="H13" s="188"/>
      <c r="I13" s="189"/>
      <c r="J13" s="56"/>
      <c r="K13" s="56"/>
      <c r="L13" s="60" t="s">
        <v>152</v>
      </c>
      <c r="M13" s="58"/>
      <c r="N13" s="141">
        <f t="shared" si="4"/>
        <v>0</v>
      </c>
      <c r="O13" s="142">
        <f t="shared" si="5"/>
        <v>0</v>
      </c>
      <c r="P13" s="55" t="str">
        <f t="shared" si="6"/>
        <v/>
      </c>
      <c r="Q13" s="179"/>
      <c r="R13" s="180"/>
      <c r="S13" s="188"/>
      <c r="T13" s="189"/>
      <c r="U13" s="56"/>
      <c r="V13" s="56"/>
      <c r="W13" s="60" t="s">
        <v>190</v>
      </c>
      <c r="X13" s="58"/>
      <c r="Y13" s="141">
        <f t="shared" si="1"/>
        <v>0</v>
      </c>
      <c r="Z13" s="142">
        <f t="shared" si="7"/>
        <v>0</v>
      </c>
      <c r="AA13" s="55" t="str">
        <f t="shared" si="8"/>
        <v/>
      </c>
      <c r="AB13" s="179"/>
      <c r="AC13" s="180"/>
      <c r="AD13" s="188"/>
      <c r="AE13" s="189"/>
      <c r="AF13" s="56"/>
      <c r="AG13" s="56"/>
    </row>
    <row r="14" spans="1:33" ht="15.9" customHeight="1" thickTop="1" thickBot="1">
      <c r="A14" s="60" t="s">
        <v>152</v>
      </c>
      <c r="B14" s="58"/>
      <c r="C14" s="141">
        <f t="shared" si="2"/>
        <v>0</v>
      </c>
      <c r="D14" s="142">
        <f t="shared" si="0"/>
        <v>0</v>
      </c>
      <c r="E14" s="55" t="str">
        <f t="shared" si="3"/>
        <v/>
      </c>
      <c r="F14" s="179"/>
      <c r="G14" s="180"/>
      <c r="H14" s="188"/>
      <c r="I14" s="189"/>
      <c r="J14" s="56"/>
      <c r="K14" s="56"/>
      <c r="L14" s="60" t="s">
        <v>152</v>
      </c>
      <c r="M14" s="58"/>
      <c r="N14" s="141">
        <f t="shared" si="4"/>
        <v>0</v>
      </c>
      <c r="O14" s="142">
        <f t="shared" si="5"/>
        <v>0</v>
      </c>
      <c r="P14" s="55" t="str">
        <f t="shared" si="6"/>
        <v/>
      </c>
      <c r="Q14" s="179"/>
      <c r="R14" s="180"/>
      <c r="S14" s="188"/>
      <c r="T14" s="189"/>
      <c r="U14" s="56"/>
      <c r="V14" s="56"/>
      <c r="W14" s="60" t="s">
        <v>155</v>
      </c>
      <c r="X14" s="58"/>
      <c r="Y14" s="141">
        <f t="shared" si="1"/>
        <v>0</v>
      </c>
      <c r="Z14" s="142">
        <f t="shared" si="7"/>
        <v>0</v>
      </c>
      <c r="AA14" s="55" t="str">
        <f t="shared" si="8"/>
        <v/>
      </c>
      <c r="AB14" s="179"/>
      <c r="AC14" s="180"/>
      <c r="AD14" s="188"/>
      <c r="AE14" s="189"/>
      <c r="AF14" s="56"/>
      <c r="AG14" s="56"/>
    </row>
    <row r="15" spans="1:33" ht="15.9" customHeight="1" thickTop="1" thickBot="1">
      <c r="A15" s="57" t="s">
        <v>155</v>
      </c>
      <c r="B15" s="58"/>
      <c r="C15" s="141">
        <f t="shared" si="2"/>
        <v>0</v>
      </c>
      <c r="D15" s="142">
        <f t="shared" si="0"/>
        <v>0</v>
      </c>
      <c r="E15" s="55" t="str">
        <f t="shared" si="3"/>
        <v/>
      </c>
      <c r="F15" s="187"/>
      <c r="G15" s="180"/>
      <c r="H15" s="188"/>
      <c r="I15" s="189"/>
      <c r="J15" s="56"/>
      <c r="K15" s="56"/>
      <c r="L15" s="57" t="s">
        <v>155</v>
      </c>
      <c r="M15" s="58"/>
      <c r="N15" s="141">
        <f t="shared" si="4"/>
        <v>0</v>
      </c>
      <c r="O15" s="142">
        <f t="shared" si="5"/>
        <v>0</v>
      </c>
      <c r="P15" s="55" t="str">
        <f t="shared" si="6"/>
        <v/>
      </c>
      <c r="Q15" s="187"/>
      <c r="R15" s="180"/>
      <c r="S15" s="188"/>
      <c r="T15" s="189"/>
      <c r="U15" s="56"/>
      <c r="V15" s="56"/>
      <c r="W15" s="57" t="s">
        <v>155</v>
      </c>
      <c r="X15" s="58"/>
      <c r="Y15" s="141">
        <f t="shared" si="1"/>
        <v>0</v>
      </c>
      <c r="Z15" s="142">
        <f t="shared" si="7"/>
        <v>0</v>
      </c>
      <c r="AA15" s="55" t="str">
        <f t="shared" si="8"/>
        <v/>
      </c>
      <c r="AB15" s="187"/>
      <c r="AC15" s="180"/>
      <c r="AD15" s="188"/>
      <c r="AE15" s="189"/>
      <c r="AF15" s="56"/>
      <c r="AG15" s="56"/>
    </row>
    <row r="16" spans="1:33" ht="15.9" customHeight="1" thickTop="1" thickBot="1">
      <c r="A16" s="60" t="s">
        <v>154</v>
      </c>
      <c r="B16" s="58"/>
      <c r="C16" s="141">
        <f t="shared" si="2"/>
        <v>0</v>
      </c>
      <c r="D16" s="142">
        <f t="shared" si="0"/>
        <v>0</v>
      </c>
      <c r="E16" s="55" t="str">
        <f t="shared" si="3"/>
        <v/>
      </c>
      <c r="F16" s="179"/>
      <c r="G16" s="180"/>
      <c r="H16" s="188"/>
      <c r="I16" s="189"/>
      <c r="J16" s="56"/>
      <c r="K16" s="56"/>
      <c r="L16" s="60" t="s">
        <v>154</v>
      </c>
      <c r="M16" s="58"/>
      <c r="N16" s="141">
        <f t="shared" si="4"/>
        <v>0</v>
      </c>
      <c r="O16" s="142">
        <f t="shared" si="5"/>
        <v>0</v>
      </c>
      <c r="P16" s="55" t="str">
        <f t="shared" si="6"/>
        <v/>
      </c>
      <c r="Q16" s="179"/>
      <c r="R16" s="180"/>
      <c r="S16" s="188"/>
      <c r="T16" s="189"/>
      <c r="U16" s="56"/>
      <c r="V16" s="56"/>
      <c r="W16" s="60" t="s">
        <v>166</v>
      </c>
      <c r="X16" s="58"/>
      <c r="Y16" s="141">
        <f t="shared" si="1"/>
        <v>0</v>
      </c>
      <c r="Z16" s="142">
        <f t="shared" si="7"/>
        <v>0</v>
      </c>
      <c r="AA16" s="55" t="str">
        <f t="shared" si="8"/>
        <v/>
      </c>
      <c r="AB16" s="179"/>
      <c r="AC16" s="180"/>
      <c r="AD16" s="188"/>
      <c r="AE16" s="189"/>
      <c r="AF16" s="56"/>
      <c r="AG16" s="56"/>
    </row>
    <row r="17" spans="1:33" ht="15.9" customHeight="1" thickTop="1" thickBot="1">
      <c r="A17" s="57" t="s">
        <v>154</v>
      </c>
      <c r="B17" s="58"/>
      <c r="C17" s="141">
        <f t="shared" si="2"/>
        <v>0</v>
      </c>
      <c r="D17" s="142">
        <f t="shared" si="0"/>
        <v>0</v>
      </c>
      <c r="E17" s="55" t="str">
        <f t="shared" si="3"/>
        <v/>
      </c>
      <c r="F17" s="187"/>
      <c r="G17" s="180"/>
      <c r="H17" s="188"/>
      <c r="I17" s="189"/>
      <c r="J17" s="56"/>
      <c r="K17" s="56"/>
      <c r="L17" s="57" t="s">
        <v>154</v>
      </c>
      <c r="M17" s="58"/>
      <c r="N17" s="141">
        <f t="shared" si="4"/>
        <v>0</v>
      </c>
      <c r="O17" s="142">
        <f t="shared" si="5"/>
        <v>0</v>
      </c>
      <c r="P17" s="55" t="str">
        <f t="shared" si="6"/>
        <v/>
      </c>
      <c r="Q17" s="187"/>
      <c r="R17" s="180"/>
      <c r="S17" s="188"/>
      <c r="T17" s="189"/>
      <c r="U17" s="56"/>
      <c r="V17" s="56"/>
      <c r="W17" s="57" t="s">
        <v>154</v>
      </c>
      <c r="X17" s="58"/>
      <c r="Y17" s="141">
        <f t="shared" si="1"/>
        <v>0</v>
      </c>
      <c r="Z17" s="142">
        <f t="shared" si="7"/>
        <v>0</v>
      </c>
      <c r="AA17" s="55" t="str">
        <f t="shared" si="8"/>
        <v/>
      </c>
      <c r="AB17" s="187"/>
      <c r="AC17" s="180"/>
      <c r="AD17" s="188"/>
      <c r="AE17" s="189"/>
      <c r="AF17" s="56"/>
      <c r="AG17" s="56"/>
    </row>
    <row r="18" spans="1:33" ht="15.9" customHeight="1" thickTop="1" thickBot="1">
      <c r="A18" s="57" t="s">
        <v>154</v>
      </c>
      <c r="B18" s="58"/>
      <c r="C18" s="141">
        <f t="shared" si="2"/>
        <v>0</v>
      </c>
      <c r="D18" s="142">
        <f t="shared" si="0"/>
        <v>0</v>
      </c>
      <c r="E18" s="55" t="str">
        <f t="shared" si="3"/>
        <v/>
      </c>
      <c r="F18" s="187"/>
      <c r="G18" s="180"/>
      <c r="H18" s="188"/>
      <c r="I18" s="189"/>
      <c r="J18" s="56"/>
      <c r="K18" s="56"/>
      <c r="L18" s="57" t="s">
        <v>154</v>
      </c>
      <c r="M18" s="58"/>
      <c r="N18" s="141">
        <f t="shared" si="4"/>
        <v>0</v>
      </c>
      <c r="O18" s="142">
        <f t="shared" si="5"/>
        <v>0</v>
      </c>
      <c r="P18" s="55" t="str">
        <f t="shared" si="6"/>
        <v/>
      </c>
      <c r="Q18" s="187"/>
      <c r="R18" s="180"/>
      <c r="S18" s="188"/>
      <c r="T18" s="189"/>
      <c r="U18" s="56"/>
      <c r="V18" s="56"/>
      <c r="W18" s="57" t="s">
        <v>154</v>
      </c>
      <c r="X18" s="58"/>
      <c r="Y18" s="141">
        <f t="shared" si="1"/>
        <v>0</v>
      </c>
      <c r="Z18" s="142">
        <f t="shared" si="7"/>
        <v>0</v>
      </c>
      <c r="AA18" s="55" t="str">
        <f t="shared" si="8"/>
        <v/>
      </c>
      <c r="AB18" s="187"/>
      <c r="AC18" s="180"/>
      <c r="AD18" s="188"/>
      <c r="AE18" s="189"/>
      <c r="AF18" s="56"/>
      <c r="AG18" s="56"/>
    </row>
    <row r="19" spans="1:33" ht="15.9" customHeight="1" thickTop="1" thickBot="1">
      <c r="A19" s="57" t="s">
        <v>154</v>
      </c>
      <c r="B19" s="58"/>
      <c r="C19" s="141">
        <f t="shared" si="2"/>
        <v>0</v>
      </c>
      <c r="D19" s="142">
        <f t="shared" si="0"/>
        <v>0</v>
      </c>
      <c r="E19" s="55" t="str">
        <f t="shared" si="3"/>
        <v/>
      </c>
      <c r="F19" s="187"/>
      <c r="G19" s="180"/>
      <c r="H19" s="188"/>
      <c r="I19" s="189"/>
      <c r="J19" s="56"/>
      <c r="K19" s="56"/>
      <c r="L19" s="57" t="s">
        <v>154</v>
      </c>
      <c r="M19" s="58"/>
      <c r="N19" s="141">
        <f t="shared" si="4"/>
        <v>0</v>
      </c>
      <c r="O19" s="142">
        <f>(ROUNDUP(N19/104,0))</f>
        <v>0</v>
      </c>
      <c r="P19" s="55" t="str">
        <f t="shared" si="6"/>
        <v/>
      </c>
      <c r="Q19" s="187"/>
      <c r="R19" s="180"/>
      <c r="S19" s="188"/>
      <c r="T19" s="189"/>
      <c r="U19" s="56"/>
      <c r="V19" s="56"/>
      <c r="W19" s="57" t="s">
        <v>154</v>
      </c>
      <c r="X19" s="58"/>
      <c r="Y19" s="141">
        <f t="shared" si="1"/>
        <v>0</v>
      </c>
      <c r="Z19" s="142">
        <f t="shared" si="7"/>
        <v>0</v>
      </c>
      <c r="AA19" s="55" t="str">
        <f t="shared" si="8"/>
        <v/>
      </c>
      <c r="AB19" s="187"/>
      <c r="AC19" s="180"/>
      <c r="AD19" s="188"/>
      <c r="AE19" s="189"/>
      <c r="AF19" s="56"/>
      <c r="AG19" s="56"/>
    </row>
    <row r="20" spans="1:33" ht="15.9" customHeight="1" thickTop="1" thickBot="1">
      <c r="A20" s="61" t="s">
        <v>160</v>
      </c>
      <c r="B20" s="62">
        <f>SUM(B4:B19)</f>
        <v>0</v>
      </c>
      <c r="C20" s="63">
        <f>SUM(C4:C19)</f>
        <v>0</v>
      </c>
      <c r="D20" s="64">
        <f>SUM(D4:D19)</f>
        <v>0</v>
      </c>
      <c r="E20" s="64">
        <f>SUM(E4:E19)</f>
        <v>0</v>
      </c>
      <c r="F20" s="183"/>
      <c r="G20" s="184"/>
      <c r="H20" s="185"/>
      <c r="I20" s="186"/>
      <c r="J20" s="186"/>
      <c r="K20" s="66"/>
      <c r="L20" s="61" t="s">
        <v>160</v>
      </c>
      <c r="M20" s="62">
        <f>SUM(M4:M19)</f>
        <v>0</v>
      </c>
      <c r="N20" s="63">
        <f>SUM(N4:N19)</f>
        <v>0</v>
      </c>
      <c r="O20" s="64">
        <f>SUM(O4:O19)</f>
        <v>0</v>
      </c>
      <c r="P20" s="64">
        <f>SUM(P4:P19)</f>
        <v>0</v>
      </c>
      <c r="Q20" s="183"/>
      <c r="R20" s="184"/>
      <c r="S20" s="185"/>
      <c r="T20" s="186"/>
      <c r="U20" s="186"/>
      <c r="V20" s="66"/>
      <c r="W20" s="61" t="s">
        <v>160</v>
      </c>
      <c r="X20" s="62">
        <f>SUM(X4:X19)</f>
        <v>0</v>
      </c>
      <c r="Y20" s="63">
        <f>SUM(Y4:Y19)</f>
        <v>0</v>
      </c>
      <c r="Z20" s="64">
        <f>SUM(Z4:Z19)</f>
        <v>0</v>
      </c>
      <c r="AA20" s="64">
        <f>SUM(AA4:AA19)</f>
        <v>0</v>
      </c>
      <c r="AB20" s="183"/>
      <c r="AC20" s="184"/>
      <c r="AD20" s="185"/>
      <c r="AE20" s="186"/>
      <c r="AF20" s="186"/>
      <c r="AG20" s="66"/>
    </row>
    <row r="21" spans="1:33" ht="42.75" customHeight="1" thickTop="1" thickBot="1">
      <c r="A21" s="109"/>
      <c r="B21" s="156"/>
      <c r="C21" s="110" t="s">
        <v>268</v>
      </c>
      <c r="D21" s="110"/>
      <c r="E21" s="158"/>
      <c r="F21" s="131" t="s">
        <v>230</v>
      </c>
      <c r="G21" s="118"/>
      <c r="H21" s="110" t="s">
        <v>201</v>
      </c>
      <c r="I21" s="110"/>
      <c r="J21" s="120" t="s">
        <v>271</v>
      </c>
      <c r="K21" s="115" t="s">
        <v>280</v>
      </c>
      <c r="L21" s="190"/>
      <c r="M21" s="143"/>
      <c r="N21" s="110" t="s">
        <v>267</v>
      </c>
      <c r="O21" s="110"/>
      <c r="P21" s="119"/>
      <c r="Q21" s="110"/>
      <c r="R21" s="118"/>
      <c r="S21" s="110" t="s">
        <v>225</v>
      </c>
      <c r="T21" s="116"/>
      <c r="U21" s="115" t="s">
        <v>274</v>
      </c>
      <c r="V21" s="115" t="s">
        <v>275</v>
      </c>
      <c r="W21" s="190"/>
      <c r="X21" s="143"/>
      <c r="Y21" s="110" t="s">
        <v>340</v>
      </c>
      <c r="Z21" s="110"/>
      <c r="AA21" s="119"/>
      <c r="AB21" s="110"/>
      <c r="AC21" s="118"/>
      <c r="AD21" s="110" t="s">
        <v>342</v>
      </c>
      <c r="AE21" s="116"/>
      <c r="AF21" s="115" t="s">
        <v>343</v>
      </c>
      <c r="AG21" s="115" t="s">
        <v>344</v>
      </c>
    </row>
    <row r="22" spans="1:33" ht="15.9" customHeight="1" thickTop="1" thickBot="1">
      <c r="A22" s="157"/>
      <c r="B22" s="155"/>
      <c r="C22" s="123">
        <f>C20</f>
        <v>0</v>
      </c>
      <c r="D22" s="124"/>
      <c r="E22" s="125"/>
      <c r="F22" s="159">
        <f>ROUNDUP(A24/110,0)</f>
        <v>0</v>
      </c>
      <c r="G22" s="155"/>
      <c r="H22" s="67">
        <f>B20</f>
        <v>0</v>
      </c>
      <c r="I22" s="126"/>
      <c r="J22" s="107">
        <f>E20</f>
        <v>0</v>
      </c>
      <c r="K22" s="122">
        <f>IF(OR(E20&gt;0),1,0)</f>
        <v>0</v>
      </c>
      <c r="L22" s="71"/>
      <c r="M22" s="58"/>
      <c r="N22" s="127">
        <f>N20</f>
        <v>0</v>
      </c>
      <c r="O22" s="124"/>
      <c r="P22" s="125"/>
      <c r="Q22" s="67"/>
      <c r="R22" s="105"/>
      <c r="S22" s="67">
        <f>M20</f>
        <v>0</v>
      </c>
      <c r="T22" s="129"/>
      <c r="U22" s="107">
        <f>P20</f>
        <v>0</v>
      </c>
      <c r="V22" s="107">
        <f>IF(OR(P20&gt;0),1,0)</f>
        <v>0</v>
      </c>
      <c r="W22" s="71"/>
      <c r="X22" s="58"/>
      <c r="Y22" s="127">
        <f>Y20</f>
        <v>0</v>
      </c>
      <c r="Z22" s="124"/>
      <c r="AA22" s="125"/>
      <c r="AB22" s="67"/>
      <c r="AC22" s="105"/>
      <c r="AD22" s="67">
        <f>X20</f>
        <v>0</v>
      </c>
      <c r="AE22" s="129"/>
      <c r="AF22" s="107">
        <f>AA20</f>
        <v>0</v>
      </c>
      <c r="AG22" s="107">
        <f>IF(OR(AA20&gt;0),1,0)</f>
        <v>0</v>
      </c>
    </row>
    <row r="23" spans="1:33" ht="62.4" thickTop="1" thickBot="1">
      <c r="A23" s="231" t="s">
        <v>338</v>
      </c>
      <c r="B23" s="131" t="s">
        <v>339</v>
      </c>
      <c r="C23" s="115" t="s">
        <v>347</v>
      </c>
      <c r="D23" s="114" t="s">
        <v>279</v>
      </c>
      <c r="E23" s="131" t="s">
        <v>350</v>
      </c>
      <c r="F23" s="131" t="s">
        <v>373</v>
      </c>
      <c r="G23" s="115" t="s">
        <v>374</v>
      </c>
      <c r="H23" s="115" t="s">
        <v>210</v>
      </c>
      <c r="I23" s="138" t="s">
        <v>323</v>
      </c>
      <c r="J23" s="113" t="s">
        <v>205</v>
      </c>
      <c r="K23" s="116"/>
      <c r="L23" s="116"/>
      <c r="M23" s="117"/>
      <c r="N23" s="121"/>
      <c r="O23" s="118" t="s">
        <v>228</v>
      </c>
      <c r="P23" s="118"/>
      <c r="Q23" s="118"/>
      <c r="R23" s="116"/>
      <c r="S23" s="115" t="s">
        <v>211</v>
      </c>
      <c r="T23" s="116"/>
      <c r="U23" s="113" t="s">
        <v>194</v>
      </c>
      <c r="V23" s="116"/>
      <c r="W23" s="116"/>
      <c r="X23" s="117"/>
      <c r="Y23" s="121"/>
      <c r="Z23" s="118" t="s">
        <v>341</v>
      </c>
      <c r="AA23" s="118"/>
      <c r="AB23" s="118"/>
      <c r="AC23" s="116"/>
      <c r="AD23" s="115" t="s">
        <v>346</v>
      </c>
      <c r="AE23" s="116"/>
      <c r="AF23" s="113" t="s">
        <v>345</v>
      </c>
      <c r="AG23" s="116"/>
    </row>
    <row r="24" spans="1:33" ht="17.25" customHeight="1" thickTop="1" thickBot="1">
      <c r="A24" s="128">
        <f>B20+M20+X20</f>
        <v>0</v>
      </c>
      <c r="B24" s="173">
        <f>ROUNDUP(A24*1.05/10,0)*10</f>
        <v>0</v>
      </c>
      <c r="C24" s="133">
        <f>(ROUNDUP((C20+N20+Y20)/120,0)*120)</f>
        <v>0</v>
      </c>
      <c r="D24" s="129">
        <f>(ROUNDUP(10*H$22/120,0)*120)</f>
        <v>0</v>
      </c>
      <c r="E24" s="132">
        <f>ROUNDUP(A24*0.12,0)</f>
        <v>0</v>
      </c>
      <c r="F24" s="132">
        <f>ROUNDUP(A24*1.1/50,0)</f>
        <v>0</v>
      </c>
      <c r="G24" s="107">
        <f>(ROUNDUP(A24*1.2/25,0))</f>
        <v>0</v>
      </c>
      <c r="H24" s="107">
        <f>IF(E20&gt;0,D20,0)</f>
        <v>0</v>
      </c>
      <c r="I24" s="139">
        <f>J24+U24+AF24</f>
        <v>0</v>
      </c>
      <c r="J24" s="140">
        <f>D20</f>
        <v>0</v>
      </c>
      <c r="K24" s="129"/>
      <c r="L24" s="128"/>
      <c r="M24" s="25"/>
      <c r="N24" s="25"/>
      <c r="O24" s="129">
        <f>(ROUNDUP(10*S$22/120,0)*120)</f>
        <v>0</v>
      </c>
      <c r="P24" s="130"/>
      <c r="Q24" s="130"/>
      <c r="R24" s="106"/>
      <c r="S24" s="107">
        <f>IF(P20&gt;0,O20,0)</f>
        <v>0</v>
      </c>
      <c r="T24" s="129"/>
      <c r="U24" s="140">
        <f>O20</f>
        <v>0</v>
      </c>
      <c r="V24" s="129"/>
      <c r="W24" s="128"/>
      <c r="X24" s="25"/>
      <c r="Y24" s="25"/>
      <c r="Z24" s="129">
        <f>(ROUNDUP(10*AD$22/120,0)*120)</f>
        <v>0</v>
      </c>
      <c r="AA24" s="130"/>
      <c r="AB24" s="130"/>
      <c r="AC24" s="106"/>
      <c r="AD24" s="107">
        <f>IF(AA20&gt;0,Z20,0)</f>
        <v>0</v>
      </c>
      <c r="AE24" s="129"/>
      <c r="AF24" s="140">
        <f>Z20</f>
        <v>0</v>
      </c>
      <c r="AG24" s="129"/>
    </row>
    <row r="25" spans="1:33" ht="15" thickTop="1">
      <c r="C25" s="5"/>
    </row>
    <row r="26" spans="1:33" ht="33.75" customHeight="1">
      <c r="E26" t="s">
        <v>184</v>
      </c>
    </row>
    <row r="27" spans="1:33">
      <c r="W27" s="46"/>
      <c r="X27" s="536"/>
      <c r="Y27" s="536"/>
      <c r="Z27" s="536"/>
      <c r="AA27" s="536"/>
      <c r="AB27" s="536"/>
    </row>
    <row r="28" spans="1:33" ht="33.75" customHeight="1">
      <c r="W28" s="46"/>
      <c r="X28" s="46"/>
      <c r="Y28" s="46"/>
      <c r="Z28" s="46"/>
      <c r="AA28" s="46"/>
      <c r="AB28" s="46"/>
    </row>
    <row r="29" spans="1:33" ht="34.5" customHeight="1">
      <c r="W29" s="46"/>
      <c r="X29" s="46"/>
      <c r="Y29" s="46"/>
      <c r="Z29" s="46"/>
      <c r="AA29" s="46"/>
      <c r="AB29" s="46"/>
    </row>
    <row r="30" spans="1:33">
      <c r="W30" s="46"/>
      <c r="X30" s="46"/>
      <c r="Y30" s="46"/>
      <c r="Z30" s="46"/>
      <c r="AA30" s="46"/>
      <c r="AB30" s="46"/>
    </row>
    <row r="189" spans="12:12">
      <c r="L189" t="s">
        <v>171</v>
      </c>
    </row>
  </sheetData>
  <mergeCells count="10">
    <mergeCell ref="A1:E1"/>
    <mergeCell ref="L1:P1"/>
    <mergeCell ref="X27:AB27"/>
    <mergeCell ref="A2:E2"/>
    <mergeCell ref="F2:J2"/>
    <mergeCell ref="L2:P2"/>
    <mergeCell ref="Q2:U2"/>
    <mergeCell ref="W2:AA2"/>
    <mergeCell ref="AB2:AF2"/>
    <mergeCell ref="W1:AA1"/>
  </mergeCells>
  <conditionalFormatting sqref="J24">
    <cfRule type="cellIs" dxfId="8" priority="3" operator="greaterThan">
      <formula>15</formula>
    </cfRule>
    <cfRule type="cellIs" priority="4" operator="greaterThan">
      <formula>15</formula>
    </cfRule>
  </conditionalFormatting>
  <conditionalFormatting sqref="U24">
    <cfRule type="cellIs" dxfId="7" priority="2" operator="greaterThan">
      <formula>15</formula>
    </cfRule>
  </conditionalFormatting>
  <conditionalFormatting sqref="AF24">
    <cfRule type="cellIs" dxfId="6" priority="1" operator="greaterThan">
      <formula>15</formula>
    </cfRule>
  </conditionalFormatting>
  <pageMargins left="0.70866141732283505" right="0.23622047244094499" top="1.14173228346457" bottom="1.1599999999999999" header="0.196850393700787" footer="0.15748031496063"/>
  <pageSetup paperSize="9" scale="83" orientation="portrait" r:id="rId1"/>
  <headerFooter scaleWithDoc="0" alignWithMargins="0">
    <oddHeader>&amp;L&amp;G&amp;R&amp;G</oddHeader>
    <oddFooter xml:space="preserve">&amp;L
RO33404978
J40/8589/2014
RO56INGB0000999915150915
ING BANK NV&amp;CStr. Învingătorilor nr. 27, Sector 3, București
Tel :  (+4) 0314.361.836
Mobil:  (+4) 0724.204.888
             (+4) 0766.367.287&amp;REmail: 
comercial@magnumheating.ro
</oddFooter>
  </headerFooter>
  <colBreaks count="1" manualBreakCount="1">
    <brk id="3" max="1048575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F8C881-6626-4A91-98A6-9B9307741A7A}">
  <sheetPr>
    <tabColor theme="8" tint="0.39997558519241921"/>
  </sheetPr>
  <dimension ref="A2:Z145"/>
  <sheetViews>
    <sheetView zoomScaleNormal="100" zoomScaleSheetLayoutView="100" workbookViewId="0">
      <selection activeCell="L9" sqref="L9"/>
    </sheetView>
  </sheetViews>
  <sheetFormatPr defaultRowHeight="14.4"/>
  <cols>
    <col min="1" max="1" width="4.6640625" customWidth="1"/>
    <col min="2" max="2" width="8.44140625" customWidth="1"/>
    <col min="3" max="3" width="60.33203125" customWidth="1"/>
    <col min="4" max="4" width="5.88671875" customWidth="1"/>
    <col min="5" max="5" width="6.33203125" customWidth="1"/>
    <col min="6" max="6" width="11.44140625" customWidth="1"/>
    <col min="7" max="7" width="14.88671875" customWidth="1"/>
    <col min="8" max="8" width="9.109375" style="244"/>
    <col min="9" max="9" width="8.88671875" customWidth="1"/>
    <col min="10" max="10" width="14" customWidth="1"/>
    <col min="15" max="15" width="10.5546875" customWidth="1"/>
    <col min="16" max="16" width="13.5546875" customWidth="1"/>
    <col min="17" max="17" width="16.109375" customWidth="1"/>
    <col min="18" max="18" width="8.5546875" customWidth="1"/>
    <col min="20" max="20" width="7.109375" customWidth="1"/>
    <col min="21" max="21" width="11.44140625" customWidth="1"/>
    <col min="22" max="22" width="13.5546875" customWidth="1"/>
    <col min="23" max="23" width="15.6640625" customWidth="1"/>
    <col min="24" max="24" width="14.109375" customWidth="1"/>
    <col min="25" max="25" width="14.88671875" customWidth="1"/>
  </cols>
  <sheetData>
    <row r="2" spans="1:17">
      <c r="A2" s="529" t="s">
        <v>597</v>
      </c>
      <c r="B2" s="530"/>
      <c r="C2" s="530"/>
    </row>
    <row r="3" spans="1:17">
      <c r="A3" s="1"/>
    </row>
    <row r="4" spans="1:17">
      <c r="A4" s="529" t="s">
        <v>168</v>
      </c>
      <c r="B4" s="530"/>
      <c r="C4" s="530"/>
    </row>
    <row r="5" spans="1:17">
      <c r="A5" s="529" t="s">
        <v>176</v>
      </c>
      <c r="B5" s="530"/>
      <c r="C5" s="530"/>
    </row>
    <row r="6" spans="1:17">
      <c r="A6" s="529" t="s">
        <v>91</v>
      </c>
      <c r="B6" s="530"/>
      <c r="C6" s="530"/>
    </row>
    <row r="7" spans="1:17">
      <c r="A7" s="529" t="s">
        <v>82</v>
      </c>
      <c r="B7" s="530"/>
      <c r="C7" s="530"/>
    </row>
    <row r="8" spans="1:17">
      <c r="A8" s="529" t="s">
        <v>172</v>
      </c>
      <c r="B8" s="530"/>
      <c r="C8" s="530"/>
    </row>
    <row r="10" spans="1:17" ht="18.75" customHeight="1">
      <c r="A10" s="545" t="s">
        <v>0</v>
      </c>
      <c r="B10" s="545"/>
      <c r="C10" s="545"/>
      <c r="D10" s="545"/>
      <c r="E10" s="545"/>
      <c r="F10" s="545"/>
      <c r="G10" s="545"/>
      <c r="H10" s="246"/>
      <c r="I10" s="4"/>
      <c r="J10" s="5"/>
      <c r="K10" s="5"/>
      <c r="L10" s="5"/>
      <c r="M10" s="5"/>
      <c r="N10" s="5"/>
      <c r="O10" s="5"/>
      <c r="P10" s="5"/>
      <c r="Q10" s="5"/>
    </row>
    <row r="11" spans="1:17" ht="18.75" customHeight="1">
      <c r="A11" s="524" t="s">
        <v>215</v>
      </c>
      <c r="B11" s="524"/>
      <c r="C11" s="524"/>
      <c r="D11" s="524"/>
      <c r="E11" s="524"/>
      <c r="F11" s="524"/>
      <c r="G11" s="524"/>
      <c r="H11" s="246"/>
      <c r="I11" s="4"/>
      <c r="J11" s="5"/>
      <c r="K11" s="5"/>
      <c r="L11" s="5"/>
      <c r="M11" s="5"/>
      <c r="N11" s="5"/>
      <c r="O11" s="5"/>
      <c r="P11" s="5"/>
      <c r="Q11" s="5"/>
    </row>
    <row r="12" spans="1:17" ht="19.5" customHeight="1">
      <c r="A12" s="524" t="s">
        <v>253</v>
      </c>
      <c r="B12" s="528"/>
      <c r="C12" s="528"/>
      <c r="D12" s="148">
        <f>'Calcul Nuturi'!A24</f>
        <v>0</v>
      </c>
      <c r="E12" s="154" t="s">
        <v>92</v>
      </c>
      <c r="F12" s="4"/>
      <c r="G12" s="4"/>
      <c r="H12" s="246"/>
      <c r="I12" s="4"/>
      <c r="J12" s="5"/>
      <c r="K12" s="5"/>
      <c r="L12" s="5"/>
      <c r="M12" s="5"/>
      <c r="N12" s="5"/>
      <c r="O12" s="5"/>
      <c r="P12" s="5"/>
      <c r="Q12" s="5"/>
    </row>
    <row r="13" spans="1:17" ht="27.9" customHeight="1">
      <c r="A13" s="4"/>
      <c r="B13" s="4"/>
      <c r="C13" s="4"/>
      <c r="D13" s="4"/>
      <c r="E13" s="4"/>
      <c r="F13" s="4"/>
      <c r="G13" s="4"/>
      <c r="H13" s="246"/>
      <c r="I13" s="4"/>
      <c r="J13" s="5"/>
      <c r="K13" s="5"/>
      <c r="L13" s="5"/>
      <c r="M13" s="5"/>
      <c r="N13" s="5"/>
      <c r="O13" s="5"/>
      <c r="P13" s="5"/>
      <c r="Q13" s="5"/>
    </row>
    <row r="14" spans="1:17" ht="27.9" customHeight="1">
      <c r="A14" s="4"/>
      <c r="B14" s="4"/>
      <c r="C14" s="4"/>
      <c r="D14" s="4"/>
      <c r="E14" s="4"/>
      <c r="F14" s="4"/>
      <c r="G14" s="4"/>
      <c r="H14" s="246"/>
      <c r="I14" s="4"/>
      <c r="J14" s="5"/>
      <c r="K14" s="5"/>
      <c r="L14" s="5"/>
      <c r="M14" s="5"/>
      <c r="N14" s="5"/>
      <c r="O14" s="5"/>
      <c r="P14" s="5"/>
      <c r="Q14" s="5"/>
    </row>
    <row r="15" spans="1:17">
      <c r="A15" s="4"/>
      <c r="B15" s="4"/>
      <c r="C15" s="4"/>
      <c r="D15" s="4"/>
      <c r="E15" s="4"/>
      <c r="F15" s="4"/>
      <c r="G15" s="4"/>
      <c r="H15" s="246"/>
      <c r="I15" s="4"/>
      <c r="J15" s="5"/>
      <c r="K15" s="5"/>
      <c r="L15" s="5"/>
      <c r="M15" s="5"/>
      <c r="N15" s="5"/>
      <c r="O15" s="5"/>
      <c r="P15" s="5"/>
      <c r="Q15" s="5"/>
    </row>
    <row r="16" spans="1:17" ht="32.25" customHeight="1">
      <c r="A16" s="4"/>
      <c r="B16" s="4"/>
      <c r="C16" s="4"/>
      <c r="D16" s="4"/>
      <c r="E16" s="4"/>
      <c r="F16" s="4"/>
      <c r="G16" s="4"/>
      <c r="H16" s="246"/>
      <c r="I16" s="4"/>
      <c r="J16" s="5"/>
      <c r="K16" s="5"/>
      <c r="L16" s="5"/>
      <c r="M16" s="5"/>
      <c r="N16" s="5"/>
      <c r="O16" s="5"/>
      <c r="P16" s="5"/>
      <c r="Q16" s="5"/>
    </row>
    <row r="17" spans="1:17" ht="32.25" customHeight="1">
      <c r="A17" s="4"/>
      <c r="B17" s="4"/>
      <c r="C17" s="4"/>
      <c r="D17" s="4"/>
      <c r="E17" s="4"/>
      <c r="F17" s="4"/>
      <c r="G17" s="4"/>
      <c r="H17" s="246"/>
      <c r="I17" s="4"/>
      <c r="J17" s="5"/>
      <c r="K17" s="5"/>
      <c r="L17" s="5"/>
      <c r="M17" s="5"/>
      <c r="N17" s="5"/>
      <c r="O17" s="5"/>
      <c r="P17" s="5"/>
      <c r="Q17" s="5"/>
    </row>
    <row r="18" spans="1:17" ht="21" customHeight="1">
      <c r="A18" s="4"/>
      <c r="B18" s="4"/>
      <c r="C18" s="4"/>
      <c r="D18" s="4"/>
      <c r="E18" s="4"/>
      <c r="F18" s="4"/>
      <c r="G18" s="4"/>
      <c r="H18" s="246"/>
      <c r="I18" s="4"/>
      <c r="J18" s="5"/>
      <c r="K18" s="5"/>
      <c r="L18" s="5"/>
      <c r="M18" s="5"/>
      <c r="N18" s="5"/>
      <c r="O18" s="5"/>
      <c r="P18" s="5"/>
      <c r="Q18" s="5"/>
    </row>
    <row r="19" spans="1:17" ht="21.6" thickBot="1">
      <c r="A19" s="525" t="s">
        <v>140</v>
      </c>
      <c r="B19" s="526"/>
      <c r="C19" s="526"/>
      <c r="D19" s="526"/>
      <c r="E19" s="526"/>
      <c r="F19" s="526"/>
      <c r="G19" s="526"/>
      <c r="H19" s="247"/>
      <c r="I19" s="5"/>
      <c r="J19" s="5"/>
      <c r="K19" s="5"/>
      <c r="L19" s="5"/>
      <c r="M19" s="5"/>
      <c r="N19" s="5"/>
      <c r="O19" s="5"/>
      <c r="P19" s="5"/>
      <c r="Q19" s="5"/>
    </row>
    <row r="20" spans="1:17" ht="18.75" customHeight="1" thickTop="1">
      <c r="A20" s="6" t="s">
        <v>1</v>
      </c>
      <c r="B20" s="518" t="s">
        <v>3</v>
      </c>
      <c r="C20" s="518" t="s">
        <v>4</v>
      </c>
      <c r="D20" s="518" t="s">
        <v>5</v>
      </c>
      <c r="E20" s="518" t="s">
        <v>6</v>
      </c>
      <c r="F20" s="7" t="s">
        <v>7</v>
      </c>
      <c r="G20" s="8" t="s">
        <v>9</v>
      </c>
      <c r="H20" s="247"/>
      <c r="I20" s="5"/>
      <c r="J20" s="5"/>
      <c r="K20" s="5"/>
      <c r="L20" s="5"/>
      <c r="M20" s="5"/>
      <c r="N20" s="5"/>
      <c r="O20" s="5"/>
      <c r="P20" s="5"/>
      <c r="Q20" s="5"/>
    </row>
    <row r="21" spans="1:17" ht="26.25" customHeight="1" thickBot="1">
      <c r="A21" s="17" t="s">
        <v>2</v>
      </c>
      <c r="B21" s="527"/>
      <c r="C21" s="527"/>
      <c r="D21" s="527"/>
      <c r="E21" s="527"/>
      <c r="F21" s="18" t="s">
        <v>8</v>
      </c>
      <c r="G21" s="19" t="s">
        <v>8</v>
      </c>
      <c r="H21" s="247"/>
      <c r="I21" s="5"/>
      <c r="J21" s="5"/>
      <c r="K21" s="5"/>
      <c r="L21" s="5"/>
      <c r="M21" s="5"/>
      <c r="N21" s="5"/>
      <c r="O21" s="5"/>
      <c r="P21" s="5"/>
      <c r="Q21" s="5"/>
    </row>
    <row r="22" spans="1:17" ht="20.100000000000001" customHeight="1" thickTop="1" thickBot="1">
      <c r="A22" s="564" t="s">
        <v>302</v>
      </c>
      <c r="B22" s="565"/>
      <c r="C22" s="565"/>
      <c r="D22" s="565"/>
      <c r="E22" s="565"/>
      <c r="F22" s="629"/>
      <c r="G22" s="39"/>
      <c r="H22" s="248">
        <f>SUM(H23)</f>
        <v>0</v>
      </c>
      <c r="I22" s="5"/>
      <c r="J22" s="5"/>
      <c r="K22" s="5"/>
      <c r="L22" s="5"/>
      <c r="M22" s="5"/>
      <c r="N22" s="5"/>
      <c r="O22" s="5"/>
      <c r="P22" s="5"/>
      <c r="Q22" s="5"/>
    </row>
    <row r="23" spans="1:17" ht="27.9" customHeight="1" thickTop="1" thickBot="1">
      <c r="A23" s="35"/>
      <c r="B23" s="36" t="s">
        <v>107</v>
      </c>
      <c r="C23" s="37" t="s">
        <v>162</v>
      </c>
      <c r="D23" s="36" t="s">
        <v>92</v>
      </c>
      <c r="E23" s="136">
        <f>'Calcul Nuturi'!F24</f>
        <v>0</v>
      </c>
      <c r="F23" s="302">
        <v>9</v>
      </c>
      <c r="G23" s="38">
        <f>E23*F23</f>
        <v>0</v>
      </c>
      <c r="H23" s="248">
        <f t="shared" ref="H23:H55" si="0">E23</f>
        <v>0</v>
      </c>
      <c r="I23" s="5"/>
      <c r="J23" s="5"/>
      <c r="K23" s="5"/>
      <c r="L23" s="5"/>
      <c r="M23" s="5"/>
      <c r="N23" s="5"/>
      <c r="O23" s="5"/>
      <c r="P23" s="5"/>
      <c r="Q23" s="5"/>
    </row>
    <row r="24" spans="1:17" ht="20.100000000000001" customHeight="1" thickTop="1" thickBot="1">
      <c r="A24" s="564" t="s">
        <v>16</v>
      </c>
      <c r="B24" s="565"/>
      <c r="C24" s="565"/>
      <c r="D24" s="565"/>
      <c r="E24" s="565"/>
      <c r="F24" s="629"/>
      <c r="G24" s="39"/>
      <c r="H24" s="248">
        <f>SUM(H25:H57)</f>
        <v>0</v>
      </c>
      <c r="I24" s="5"/>
      <c r="J24" s="5"/>
      <c r="K24" s="5"/>
      <c r="L24" s="5"/>
      <c r="M24" s="5" t="s">
        <v>85</v>
      </c>
      <c r="N24" s="5"/>
      <c r="O24" s="5"/>
      <c r="P24" s="5"/>
      <c r="Q24" s="5"/>
    </row>
    <row r="25" spans="1:17" ht="18" customHeight="1" thickTop="1" thickBot="1">
      <c r="A25" s="12"/>
      <c r="B25" s="2" t="s">
        <v>78</v>
      </c>
      <c r="C25" s="13" t="s">
        <v>77</v>
      </c>
      <c r="D25" s="2" t="s">
        <v>13</v>
      </c>
      <c r="E25" s="254">
        <f>'Calcul Nuturi'!I24</f>
        <v>0</v>
      </c>
      <c r="F25" s="285">
        <v>2</v>
      </c>
      <c r="G25" s="33">
        <f t="shared" ref="G25:G30" si="1">E25*F25</f>
        <v>0</v>
      </c>
      <c r="H25" s="248">
        <f t="shared" si="0"/>
        <v>0</v>
      </c>
      <c r="I25" s="5"/>
      <c r="J25" s="5"/>
      <c r="K25" s="5"/>
      <c r="L25" s="5"/>
      <c r="M25" s="5"/>
      <c r="N25" s="5"/>
      <c r="O25" s="5"/>
      <c r="P25" s="5"/>
      <c r="Q25" s="5"/>
    </row>
    <row r="26" spans="1:17" ht="18" customHeight="1" thickBot="1">
      <c r="A26" s="12"/>
      <c r="B26" s="2" t="s">
        <v>109</v>
      </c>
      <c r="C26" s="13" t="s">
        <v>110</v>
      </c>
      <c r="D26" s="3" t="s">
        <v>14</v>
      </c>
      <c r="E26" s="2">
        <f>'Calcul Nuturi'!G24</f>
        <v>0</v>
      </c>
      <c r="F26" s="286">
        <v>11</v>
      </c>
      <c r="G26" s="33">
        <f t="shared" si="1"/>
        <v>0</v>
      </c>
      <c r="H26" s="248">
        <f t="shared" si="0"/>
        <v>0</v>
      </c>
      <c r="I26" s="5"/>
      <c r="J26" s="5"/>
      <c r="K26" s="5"/>
      <c r="L26" s="5"/>
      <c r="M26" s="5"/>
      <c r="N26" s="5"/>
      <c r="O26" s="5"/>
      <c r="P26" s="5"/>
      <c r="Q26" s="5"/>
    </row>
    <row r="27" spans="1:17" ht="18" customHeight="1" thickBot="1">
      <c r="A27" s="12"/>
      <c r="B27" s="2" t="s">
        <v>108</v>
      </c>
      <c r="C27" s="13" t="s">
        <v>116</v>
      </c>
      <c r="D27" s="3" t="s">
        <v>11</v>
      </c>
      <c r="E27" s="2"/>
      <c r="F27" s="286">
        <v>4.7300000000000004</v>
      </c>
      <c r="G27" s="33">
        <f t="shared" si="1"/>
        <v>0</v>
      </c>
      <c r="H27" s="248">
        <f t="shared" si="0"/>
        <v>0</v>
      </c>
      <c r="I27" s="5"/>
      <c r="J27" s="5"/>
      <c r="K27" s="5"/>
      <c r="L27" s="5"/>
      <c r="M27" s="5"/>
      <c r="N27" s="5"/>
      <c r="O27" s="5"/>
      <c r="P27" s="5"/>
      <c r="Q27" s="5"/>
    </row>
    <row r="28" spans="1:17" ht="18" customHeight="1" thickBot="1">
      <c r="A28" s="12"/>
      <c r="B28" s="2" t="s">
        <v>76</v>
      </c>
      <c r="C28" s="13" t="s">
        <v>308</v>
      </c>
      <c r="D28" s="2" t="s">
        <v>13</v>
      </c>
      <c r="E28" s="108">
        <f>'Calcul Nuturi'!E24</f>
        <v>0</v>
      </c>
      <c r="F28" s="286">
        <v>7</v>
      </c>
      <c r="G28" s="33">
        <f t="shared" si="1"/>
        <v>0</v>
      </c>
      <c r="H28" s="248">
        <f t="shared" si="0"/>
        <v>0</v>
      </c>
      <c r="I28" s="5"/>
      <c r="J28" s="5"/>
      <c r="K28" s="5"/>
      <c r="L28" s="5"/>
      <c r="M28" s="5"/>
      <c r="N28" s="5"/>
      <c r="O28" s="5"/>
      <c r="P28" s="5"/>
      <c r="Q28" s="5"/>
    </row>
    <row r="29" spans="1:17" ht="18" customHeight="1" thickBot="1">
      <c r="A29" s="12"/>
      <c r="B29" s="2" t="s">
        <v>111</v>
      </c>
      <c r="C29" s="13" t="s">
        <v>161</v>
      </c>
      <c r="D29" s="3" t="s">
        <v>11</v>
      </c>
      <c r="E29" s="2"/>
      <c r="F29" s="286">
        <v>165</v>
      </c>
      <c r="G29" s="33">
        <f t="shared" si="1"/>
        <v>0</v>
      </c>
      <c r="H29" s="248">
        <f t="shared" si="0"/>
        <v>0</v>
      </c>
      <c r="I29" s="5"/>
      <c r="J29" s="5"/>
      <c r="K29" s="5"/>
      <c r="L29" s="5"/>
      <c r="M29" s="5"/>
      <c r="N29" s="5"/>
      <c r="O29" s="5"/>
      <c r="P29" s="5"/>
      <c r="Q29" s="5"/>
    </row>
    <row r="30" spans="1:17" ht="18" customHeight="1" thickBot="1">
      <c r="A30" s="12"/>
      <c r="B30" s="29" t="s">
        <v>115</v>
      </c>
      <c r="C30" s="31" t="s">
        <v>117</v>
      </c>
      <c r="D30" s="30" t="s">
        <v>11</v>
      </c>
      <c r="E30" s="169">
        <f>'Calcul Nuturi'!F22</f>
        <v>0</v>
      </c>
      <c r="F30" s="286">
        <v>21</v>
      </c>
      <c r="G30" s="33">
        <f t="shared" si="1"/>
        <v>0</v>
      </c>
      <c r="H30" s="248">
        <f t="shared" si="0"/>
        <v>0</v>
      </c>
      <c r="I30" s="5"/>
      <c r="J30" s="5"/>
      <c r="K30" s="5"/>
      <c r="L30" s="5"/>
      <c r="M30" s="5"/>
      <c r="N30" s="5"/>
      <c r="O30" s="5"/>
      <c r="P30" s="5"/>
      <c r="Q30" s="5"/>
    </row>
    <row r="31" spans="1:17" ht="18" customHeight="1" thickBot="1">
      <c r="A31" s="12"/>
      <c r="B31" s="2" t="s">
        <v>231</v>
      </c>
      <c r="C31" s="13" t="s">
        <v>232</v>
      </c>
      <c r="D31" s="28" t="s">
        <v>14</v>
      </c>
      <c r="E31" s="170">
        <v>0</v>
      </c>
      <c r="F31" s="286">
        <v>53</v>
      </c>
      <c r="G31" s="33">
        <f t="shared" ref="G31:G57" si="2">E31*F31</f>
        <v>0</v>
      </c>
      <c r="H31" s="248">
        <f t="shared" si="0"/>
        <v>0</v>
      </c>
      <c r="I31" s="5"/>
      <c r="J31" s="5"/>
      <c r="K31" s="5"/>
      <c r="L31" s="5"/>
      <c r="M31" s="5"/>
      <c r="N31" s="5"/>
      <c r="O31" s="5"/>
      <c r="P31" s="5"/>
      <c r="Q31" s="5"/>
    </row>
    <row r="32" spans="1:17" ht="18" customHeight="1" thickBot="1">
      <c r="A32" s="12"/>
      <c r="B32" s="2" t="s">
        <v>69</v>
      </c>
      <c r="C32" s="13" t="s">
        <v>72</v>
      </c>
      <c r="D32" s="28" t="s">
        <v>14</v>
      </c>
      <c r="E32" s="170">
        <f>IF('Calcul Nuturi'!C24- 'Sistem Nuturi'!E34*600- 'Sistem Nuturi'!E33*240&gt;=120, INT(('Calcul Nuturi'!C24- 'Sistem Nuturi'!E34*600-'Sistem Nuturi'!E33*240)/120),0)</f>
        <v>0</v>
      </c>
      <c r="F32" s="286">
        <v>71</v>
      </c>
      <c r="G32" s="33">
        <f t="shared" si="2"/>
        <v>0</v>
      </c>
      <c r="H32" s="248">
        <f t="shared" si="0"/>
        <v>0</v>
      </c>
      <c r="I32" s="5"/>
      <c r="J32" s="5"/>
      <c r="K32" s="5"/>
      <c r="L32" s="5"/>
      <c r="M32" s="5"/>
      <c r="N32" s="5"/>
      <c r="O32" s="5"/>
      <c r="P32" s="5"/>
      <c r="Q32" s="5"/>
    </row>
    <row r="33" spans="1:17" ht="18" customHeight="1" thickBot="1">
      <c r="A33" s="12"/>
      <c r="B33" s="2" t="s">
        <v>70</v>
      </c>
      <c r="C33" s="13" t="s">
        <v>73</v>
      </c>
      <c r="D33" s="28" t="s">
        <v>14</v>
      </c>
      <c r="E33" s="170">
        <f>IF('Calcul Nuturi'!C24-'Sistem Nuturi'!E34*600&gt;=240, INT(('Calcul Nuturi'!C24-'Sistem Nuturi'!E34*600)/240),0)</f>
        <v>0</v>
      </c>
      <c r="F33" s="286">
        <v>142</v>
      </c>
      <c r="G33" s="33">
        <f t="shared" si="2"/>
        <v>0</v>
      </c>
      <c r="H33" s="248">
        <f t="shared" si="0"/>
        <v>0</v>
      </c>
      <c r="I33" s="5"/>
      <c r="J33" s="5"/>
      <c r="K33" s="5"/>
      <c r="L33" s="5"/>
      <c r="M33" s="5"/>
      <c r="N33" s="5"/>
      <c r="O33" s="5"/>
      <c r="P33" s="5"/>
      <c r="Q33" s="5"/>
    </row>
    <row r="34" spans="1:17" ht="18" customHeight="1" thickBot="1">
      <c r="A34" s="12"/>
      <c r="B34" s="2" t="s">
        <v>71</v>
      </c>
      <c r="C34" s="13" t="s">
        <v>74</v>
      </c>
      <c r="D34" s="20" t="s">
        <v>14</v>
      </c>
      <c r="E34" s="2">
        <f>IF('Calcul Nuturi'!C24&gt;=600, INT('Calcul Nuturi'!C24/600),0)</f>
        <v>0</v>
      </c>
      <c r="F34" s="286">
        <v>354</v>
      </c>
      <c r="G34" s="33">
        <f t="shared" si="2"/>
        <v>0</v>
      </c>
      <c r="H34" s="248">
        <f t="shared" si="0"/>
        <v>0</v>
      </c>
      <c r="I34" s="5"/>
      <c r="J34" s="5"/>
      <c r="K34" s="5"/>
      <c r="L34" s="5"/>
      <c r="M34" s="5"/>
      <c r="N34" s="5"/>
      <c r="O34" s="5"/>
      <c r="P34" s="5"/>
      <c r="Q34" s="5"/>
    </row>
    <row r="35" spans="1:17" ht="50.1" customHeight="1" thickBot="1">
      <c r="A35" s="12"/>
      <c r="B35" s="2" t="s">
        <v>35</v>
      </c>
      <c r="C35" s="13" t="s">
        <v>118</v>
      </c>
      <c r="D35" s="2" t="s">
        <v>11</v>
      </c>
      <c r="E35" s="2">
        <f>IF(AND('Calcul Nuturi'!$J$24=2, 'Calcul Nuturi'!$U$24=2, 'Calcul Nuturi'!$AF$24=2), 3,
IF(OR(AND('Calcul Nuturi'!$J$24=2, 'Calcul Nuturi'!$U$24=2),
      AND('Calcul Nuturi'!$J$24=2, 'Calcul Nuturi'!$AF$24=2),
      AND('Calcul Nuturi'!$U$24=2, 'Calcul Nuturi'!$AF$24=2)), 2,
IF(OR('Calcul Nuturi'!$J$24=2, 'Calcul Nuturi'!$U$24=2, 'Calcul Nuturi'!$AF$24=2), 1, 0)))</f>
        <v>0</v>
      </c>
      <c r="F35" s="286">
        <v>104</v>
      </c>
      <c r="G35" s="33">
        <f t="shared" si="2"/>
        <v>0</v>
      </c>
      <c r="H35" s="248">
        <f t="shared" si="0"/>
        <v>0</v>
      </c>
      <c r="I35" s="5"/>
      <c r="J35" s="5"/>
      <c r="K35" s="5"/>
      <c r="L35" s="5"/>
      <c r="M35" s="5"/>
      <c r="N35" s="5"/>
      <c r="O35" s="5"/>
      <c r="P35" s="5"/>
      <c r="Q35" s="5"/>
    </row>
    <row r="36" spans="1:17" ht="50.1" customHeight="1" thickBot="1">
      <c r="A36" s="12"/>
      <c r="B36" s="2" t="s">
        <v>36</v>
      </c>
      <c r="C36" s="13" t="s">
        <v>119</v>
      </c>
      <c r="D36" s="2" t="s">
        <v>11</v>
      </c>
      <c r="E36" s="2">
        <f>IF(AND('Calcul Nuturi'!$J$24=3, 'Calcul Nuturi'!$U$24=3, 'Calcul Nuturi'!$AF$24=3), 3,
IF(OR(AND('Calcul Nuturi'!$J$24=3, 'Calcul Nuturi'!$U$24=3),
      AND('Calcul Nuturi'!$J$24=3, 'Calcul Nuturi'!$AF$24=3),
      AND('Calcul Nuturi'!$U$24=3, 'Calcul Nuturi'!$AF$24=3)), 2,
IF(OR('Calcul Nuturi'!$J$24=3, 'Calcul Nuturi'!$U$24=3, 'Calcul Nuturi'!$AF$24=3), 1, 0)))</f>
        <v>0</v>
      </c>
      <c r="F36" s="286">
        <v>120</v>
      </c>
      <c r="G36" s="33">
        <f t="shared" si="2"/>
        <v>0</v>
      </c>
      <c r="H36" s="248">
        <f t="shared" si="0"/>
        <v>0</v>
      </c>
      <c r="I36" s="5"/>
      <c r="J36" s="5"/>
      <c r="K36" s="5"/>
      <c r="L36" s="5"/>
      <c r="M36" s="5"/>
      <c r="N36" s="5"/>
      <c r="O36" s="5"/>
      <c r="P36" s="5"/>
      <c r="Q36" s="5"/>
    </row>
    <row r="37" spans="1:17" ht="50.1" customHeight="1" thickBot="1">
      <c r="A37" s="12"/>
      <c r="B37" s="2" t="s">
        <v>37</v>
      </c>
      <c r="C37" s="13" t="s">
        <v>120</v>
      </c>
      <c r="D37" s="2" t="s">
        <v>11</v>
      </c>
      <c r="E37" s="2">
        <f>IF(AND('Calcul Nuturi'!$J$24=4, 'Calcul Nuturi'!$U$24=4, 'Calcul Nuturi'!$AF$24=4), 3,
IF(OR(AND('Calcul Nuturi'!$J$24=4, 'Calcul Nuturi'!$U$24=4),
      AND('Calcul Nuturi'!$J$24=4, 'Calcul Nuturi'!$AF$24=4),
      AND('Calcul Nuturi'!$U$24=4, 'Calcul Nuturi'!$AF$24=4)), 2,
IF(OR('Calcul Nuturi'!$J$24=4, 'Calcul Nuturi'!$U$24=4, 'Calcul Nuturi'!$AF$24=4), 1, 0)))</f>
        <v>0</v>
      </c>
      <c r="F37" s="286">
        <v>136</v>
      </c>
      <c r="G37" s="33">
        <f t="shared" si="2"/>
        <v>0</v>
      </c>
      <c r="H37" s="248">
        <f t="shared" si="0"/>
        <v>0</v>
      </c>
      <c r="I37" s="5"/>
      <c r="J37" s="5"/>
      <c r="K37" s="5"/>
      <c r="L37" s="5"/>
      <c r="M37" s="5"/>
      <c r="N37" s="5"/>
      <c r="O37" s="5"/>
      <c r="P37" s="5"/>
      <c r="Q37" s="5"/>
    </row>
    <row r="38" spans="1:17" ht="50.1" customHeight="1" thickBot="1">
      <c r="A38" s="12"/>
      <c r="B38" s="2" t="s">
        <v>23</v>
      </c>
      <c r="C38" s="13" t="s">
        <v>121</v>
      </c>
      <c r="D38" s="2" t="s">
        <v>11</v>
      </c>
      <c r="E38" s="2">
        <f>IF(AND('Calcul Nuturi'!$J$24=5, 'Calcul Nuturi'!$U$24=5, 'Calcul Nuturi'!$AF$24=5), 3,
IF(OR(AND('Calcul Nuturi'!$J$24=5, 'Calcul Nuturi'!$U$24=5),
      AND('Calcul Nuturi'!$J$24=5, 'Calcul Nuturi'!$AF$24=5),
      AND('Calcul Nuturi'!$U$24=5, 'Calcul Nuturi'!$AF$24=5)), 2,
IF(OR('Calcul Nuturi'!$J$24=5, 'Calcul Nuturi'!$U$24=5, 'Calcul Nuturi'!$AF$24=5), 1, 0)))</f>
        <v>0</v>
      </c>
      <c r="F38" s="286">
        <v>151</v>
      </c>
      <c r="G38" s="33">
        <f t="shared" si="2"/>
        <v>0</v>
      </c>
      <c r="H38" s="248">
        <f t="shared" si="0"/>
        <v>0</v>
      </c>
      <c r="I38" s="5"/>
      <c r="J38" s="5"/>
      <c r="K38" s="5"/>
      <c r="L38" s="5"/>
      <c r="M38" s="5"/>
      <c r="N38" s="5"/>
      <c r="O38" s="5"/>
      <c r="P38" s="5"/>
      <c r="Q38" s="5"/>
    </row>
    <row r="39" spans="1:17" ht="50.1" customHeight="1" thickBot="1">
      <c r="A39" s="12"/>
      <c r="B39" s="2" t="s">
        <v>22</v>
      </c>
      <c r="C39" s="13" t="s">
        <v>409</v>
      </c>
      <c r="D39" s="2" t="s">
        <v>11</v>
      </c>
      <c r="E39" s="2">
        <f>IF(AND('Calcul Nuturi'!$J$24=6, 'Calcul Nuturi'!$U$24=6, 'Calcul Nuturi'!$AF$24=6), 3,
IF(OR(AND('Calcul Nuturi'!$J$24=6, 'Calcul Nuturi'!$U$24=6),
      AND('Calcul Nuturi'!$J$24=6, 'Calcul Nuturi'!$AF$24=6),
      AND('Calcul Nuturi'!$U$24=6, 'Calcul Nuturi'!$AF$24=6)), 2,
IF(OR('Calcul Nuturi'!$J$24=6, 'Calcul Nuturi'!$U$24=6, 'Calcul Nuturi'!$AF$24=6), 1, 0)))</f>
        <v>0</v>
      </c>
      <c r="F39" s="286">
        <v>168</v>
      </c>
      <c r="G39" s="33">
        <f t="shared" si="2"/>
        <v>0</v>
      </c>
      <c r="H39" s="248">
        <f t="shared" si="0"/>
        <v>0</v>
      </c>
      <c r="I39" s="5"/>
      <c r="J39" s="5"/>
      <c r="K39" s="5"/>
      <c r="L39" s="5"/>
      <c r="M39" s="5"/>
      <c r="N39" s="5"/>
      <c r="O39" s="5"/>
      <c r="P39" s="5"/>
      <c r="Q39" s="5"/>
    </row>
    <row r="40" spans="1:17" ht="50.1" customHeight="1" thickBot="1">
      <c r="A40" s="12"/>
      <c r="B40" s="2" t="s">
        <v>21</v>
      </c>
      <c r="C40" s="13" t="s">
        <v>410</v>
      </c>
      <c r="D40" s="2" t="s">
        <v>11</v>
      </c>
      <c r="E40" s="2">
        <f>IF(AND('Calcul Nuturi'!$J$24=7, 'Calcul Nuturi'!$U$24=7, 'Calcul Nuturi'!$AF$24=7), 3,
IF(OR(AND('Calcul Nuturi'!$J$24=7, 'Calcul Nuturi'!$U$24=7),
      AND('Calcul Nuturi'!$J$24=7, 'Calcul Nuturi'!$AF$24=7),
      AND('Calcul Nuturi'!$U$24=7, 'Calcul Nuturi'!$AF$24=7)), 2,
IF(OR('Calcul Nuturi'!$J$24=7, 'Calcul Nuturi'!$U$24=7, 'Calcul Nuturi'!$AF$24=7), 1, 0)))</f>
        <v>0</v>
      </c>
      <c r="F40" s="286">
        <v>184</v>
      </c>
      <c r="G40" s="33">
        <f t="shared" si="2"/>
        <v>0</v>
      </c>
      <c r="H40" s="248">
        <f t="shared" si="0"/>
        <v>0</v>
      </c>
      <c r="I40" s="5"/>
      <c r="J40" s="5"/>
      <c r="K40" s="5"/>
      <c r="L40" s="5"/>
      <c r="M40" s="5"/>
      <c r="N40" s="5"/>
      <c r="O40" s="5"/>
      <c r="P40" s="5"/>
      <c r="Q40" s="5"/>
    </row>
    <row r="41" spans="1:17" ht="50.1" customHeight="1" thickBot="1">
      <c r="A41" s="12"/>
      <c r="B41" s="2" t="s">
        <v>38</v>
      </c>
      <c r="C41" s="13" t="s">
        <v>167</v>
      </c>
      <c r="D41" s="2" t="s">
        <v>11</v>
      </c>
      <c r="E41" s="2">
        <f>IF(AND('Calcul Nuturi'!$J$24=8, 'Calcul Nuturi'!$U$24=8, 'Calcul Nuturi'!$AF$24=8), 3,
IF(OR(AND('Calcul Nuturi'!$J$24=8, 'Calcul Nuturi'!$U$24=8),
      AND('Calcul Nuturi'!$J$24=8, 'Calcul Nuturi'!$AF$24=8),
      AND('Calcul Nuturi'!$U$24=8, 'Calcul Nuturi'!$AF$24=8)), 2,
IF(OR('Calcul Nuturi'!$J$24=8, 'Calcul Nuturi'!$U$24=8, 'Calcul Nuturi'!$AF$24=8), 1, 0)))</f>
        <v>0</v>
      </c>
      <c r="F41" s="286">
        <v>200</v>
      </c>
      <c r="G41" s="33">
        <f t="shared" si="2"/>
        <v>0</v>
      </c>
      <c r="H41" s="248">
        <f t="shared" si="0"/>
        <v>0</v>
      </c>
      <c r="I41" s="5"/>
      <c r="J41" s="5"/>
      <c r="K41" s="5"/>
      <c r="L41" s="5"/>
      <c r="M41" s="5"/>
      <c r="N41" s="5"/>
      <c r="O41" s="5"/>
      <c r="P41" s="5"/>
      <c r="Q41" s="5"/>
    </row>
    <row r="42" spans="1:17" ht="50.1" customHeight="1" thickBot="1">
      <c r="A42" s="12"/>
      <c r="B42" s="2" t="s">
        <v>39</v>
      </c>
      <c r="C42" s="13" t="s">
        <v>173</v>
      </c>
      <c r="D42" s="2" t="s">
        <v>11</v>
      </c>
      <c r="E42" s="2">
        <f>IF(AND('Calcul Nuturi'!$J$24=9, 'Calcul Nuturi'!$U$24=9, 'Calcul Nuturi'!$AF$24=9), 3,
IF(OR(AND('Calcul Nuturi'!$J$24=9, 'Calcul Nuturi'!$U$24=9),
      AND('Calcul Nuturi'!$J$24=9, 'Calcul Nuturi'!$AF$24=9),
      AND('Calcul Nuturi'!$U$24=9, 'Calcul Nuturi'!$AF$24=9)), 2,
IF(OR('Calcul Nuturi'!$J$24=9, 'Calcul Nuturi'!$U$24=9, 'Calcul Nuturi'!$AF$24=9), 1, 0)))</f>
        <v>0</v>
      </c>
      <c r="F42" s="286">
        <v>215</v>
      </c>
      <c r="G42" s="33">
        <f t="shared" si="2"/>
        <v>0</v>
      </c>
      <c r="H42" s="248">
        <f t="shared" si="0"/>
        <v>0</v>
      </c>
      <c r="I42" s="5"/>
      <c r="J42" s="5"/>
      <c r="K42" s="5"/>
      <c r="L42" s="5"/>
      <c r="M42" s="5"/>
      <c r="N42" s="5"/>
      <c r="O42" s="5"/>
      <c r="P42" s="5"/>
      <c r="Q42" s="5"/>
    </row>
    <row r="43" spans="1:17" ht="50.1" customHeight="1" thickBot="1">
      <c r="A43" s="12"/>
      <c r="B43" s="2" t="s">
        <v>40</v>
      </c>
      <c r="C43" s="13" t="s">
        <v>122</v>
      </c>
      <c r="D43" s="2" t="s">
        <v>11</v>
      </c>
      <c r="E43" s="2">
        <f>IF(AND('Calcul Nuturi'!$J$24=10, 'Calcul Nuturi'!$U$24=10, 'Calcul Nuturi'!$AF$24=10), 3,
IF(OR(AND('Calcul Nuturi'!$J$24=10, 'Calcul Nuturi'!$U$24=10),
      AND('Calcul Nuturi'!$J$24=10, 'Calcul Nuturi'!$AF$24=10),
      AND('Calcul Nuturi'!$U$24=10, 'Calcul Nuturi'!$AF$24=10)), 2,
IF(OR('Calcul Nuturi'!$J$24=10, 'Calcul Nuturi'!$U$24=10, 'Calcul Nuturi'!$AF$24=10), 1, 0)))</f>
        <v>0</v>
      </c>
      <c r="F43" s="286">
        <v>233</v>
      </c>
      <c r="G43" s="33">
        <f t="shared" si="2"/>
        <v>0</v>
      </c>
      <c r="H43" s="248">
        <f t="shared" si="0"/>
        <v>0</v>
      </c>
      <c r="I43" s="5"/>
      <c r="J43" s="5"/>
      <c r="K43" s="5"/>
      <c r="L43" s="5"/>
      <c r="M43" s="5"/>
      <c r="N43" s="5"/>
      <c r="O43" s="5"/>
      <c r="P43" s="5"/>
      <c r="Q43" s="5"/>
    </row>
    <row r="44" spans="1:17" ht="50.1" customHeight="1" thickBot="1">
      <c r="A44" s="12"/>
      <c r="B44" s="2" t="s">
        <v>41</v>
      </c>
      <c r="C44" s="13" t="s">
        <v>123</v>
      </c>
      <c r="D44" s="2" t="s">
        <v>11</v>
      </c>
      <c r="E44" s="2">
        <f>IF(AND('Calcul Nuturi'!$J$24=11, 'Calcul Nuturi'!$U$24=11, 'Calcul Nuturi'!$AF$24=11), 3,
IF(OR(AND('Calcul Nuturi'!$J$24=11, 'Calcul Nuturi'!$U$24=11),
      AND('Calcul Nuturi'!$J$24=11, 'Calcul Nuturi'!$AF$24=11),
      AND('Calcul Nuturi'!$U$24=11, 'Calcul Nuturi'!$AF$24=11)), 2,
IF(OR('Calcul Nuturi'!$J$24=11, 'Calcul Nuturi'!$U$24=11, 'Calcul Nuturi'!$AF$24=11), 1, 0)))</f>
        <v>0</v>
      </c>
      <c r="F44" s="286">
        <v>247</v>
      </c>
      <c r="G44" s="33">
        <f t="shared" si="2"/>
        <v>0</v>
      </c>
      <c r="H44" s="248">
        <f t="shared" si="0"/>
        <v>0</v>
      </c>
      <c r="I44" s="5"/>
      <c r="J44" s="5"/>
      <c r="K44" s="5"/>
      <c r="L44" s="5"/>
      <c r="M44" s="5"/>
      <c r="N44" s="5"/>
      <c r="O44" s="5"/>
      <c r="P44" s="5"/>
      <c r="Q44" s="5"/>
    </row>
    <row r="45" spans="1:17" ht="50.1" customHeight="1" thickBot="1">
      <c r="A45" s="12"/>
      <c r="B45" s="2" t="s">
        <v>42</v>
      </c>
      <c r="C45" s="13" t="s">
        <v>124</v>
      </c>
      <c r="D45" s="2" t="s">
        <v>11</v>
      </c>
      <c r="E45" s="2">
        <f>IF(AND('Calcul Nuturi'!$J$24=12, 'Calcul Nuturi'!$U$24=12, 'Calcul Nuturi'!$AF$24=12), 3,
IF(OR(AND('Calcul Nuturi'!$J$24=12, 'Calcul Nuturi'!$U$24=12),
      AND('Calcul Nuturi'!$J$24=12, 'Calcul Nuturi'!$AF$24=12),
      AND('Calcul Nuturi'!$U$24=12, 'Calcul Nuturi'!$AF$24=12)), 2,
IF(OR('Calcul Nuturi'!$J$24=12, 'Calcul Nuturi'!$U$24=12, 'Calcul Nuturi'!$AF$24=12), 1, 0)))</f>
        <v>0</v>
      </c>
      <c r="F45" s="286">
        <v>265</v>
      </c>
      <c r="G45" s="33">
        <f t="shared" si="2"/>
        <v>0</v>
      </c>
      <c r="H45" s="248">
        <f t="shared" si="0"/>
        <v>0</v>
      </c>
      <c r="I45" s="5"/>
      <c r="J45" s="5"/>
      <c r="K45" s="5"/>
      <c r="L45" s="5"/>
      <c r="M45" s="5"/>
      <c r="N45" s="5"/>
      <c r="O45" s="5"/>
      <c r="P45" s="5"/>
      <c r="Q45" s="5"/>
    </row>
    <row r="46" spans="1:17" ht="50.1" customHeight="1" thickBot="1">
      <c r="A46" s="12"/>
      <c r="B46" s="2" t="s">
        <v>43</v>
      </c>
      <c r="C46" s="13" t="s">
        <v>125</v>
      </c>
      <c r="D46" s="2" t="s">
        <v>11</v>
      </c>
      <c r="E46" s="2">
        <f>IF(AND('Calcul Nuturi'!$J$24=13, 'Calcul Nuturi'!$U$24=13, 'Calcul Nuturi'!$AF$24=13), 3,
IF(OR(AND('Calcul Nuturi'!$J$24=13, 'Calcul Nuturi'!$U$24=13),
      AND('Calcul Nuturi'!$J$24=13, 'Calcul Nuturi'!$AF$24=13),
      AND('Calcul Nuturi'!$U$24=13, 'Calcul Nuturi'!$AF$24=13)), 2,
IF(OR('Calcul Nuturi'!$J$24=13, 'Calcul Nuturi'!$U$24=13, 'Calcul Nuturi'!$AF$24=13), 1, 0)))</f>
        <v>0</v>
      </c>
      <c r="F46" s="286">
        <v>283</v>
      </c>
      <c r="G46" s="33">
        <f t="shared" si="2"/>
        <v>0</v>
      </c>
      <c r="H46" s="248">
        <f t="shared" si="0"/>
        <v>0</v>
      </c>
      <c r="I46" s="5"/>
      <c r="J46" s="5"/>
      <c r="K46" s="5"/>
      <c r="L46" s="5"/>
      <c r="M46" s="5"/>
      <c r="N46" s="5"/>
      <c r="O46" s="5"/>
      <c r="P46" s="5"/>
      <c r="Q46" s="5"/>
    </row>
    <row r="47" spans="1:17" ht="50.1" customHeight="1" thickBot="1">
      <c r="A47" s="12"/>
      <c r="B47" s="2" t="s">
        <v>44</v>
      </c>
      <c r="C47" s="13" t="s">
        <v>126</v>
      </c>
      <c r="D47" s="2" t="s">
        <v>11</v>
      </c>
      <c r="E47" s="2">
        <f>IF(AND('Calcul Nuturi'!$J$24=14, 'Calcul Nuturi'!$U$24=14, 'Calcul Nuturi'!$AF$24=14), 3,
IF(OR(AND('Calcul Nuturi'!$J$24=14, 'Calcul Nuturi'!$U$24=14),
      AND('Calcul Nuturi'!$J$24=14, 'Calcul Nuturi'!$AF$24=14),
      AND('Calcul Nuturi'!$U$24=14, 'Calcul Nuturi'!$AF$24=14)), 2,
IF(OR('Calcul Nuturi'!$J$24=14, 'Calcul Nuturi'!$U$24=14, 'Calcul Nuturi'!$AF$24=14), 1, 0)))</f>
        <v>0</v>
      </c>
      <c r="F47" s="286">
        <v>298</v>
      </c>
      <c r="G47" s="33">
        <f t="shared" si="2"/>
        <v>0</v>
      </c>
      <c r="H47" s="248">
        <f t="shared" si="0"/>
        <v>0</v>
      </c>
      <c r="I47" s="5"/>
      <c r="J47" s="5"/>
      <c r="K47" s="5"/>
      <c r="L47" s="5"/>
      <c r="M47" s="5"/>
      <c r="N47" s="5"/>
      <c r="O47" s="5"/>
      <c r="P47" s="5"/>
      <c r="Q47" s="5"/>
    </row>
    <row r="48" spans="1:17" ht="46.5" customHeight="1" thickBot="1">
      <c r="A48" s="12"/>
      <c r="B48" s="2" t="s">
        <v>45</v>
      </c>
      <c r="C48" s="13" t="s">
        <v>127</v>
      </c>
      <c r="D48" s="2" t="s">
        <v>11</v>
      </c>
      <c r="E48" s="2">
        <f>IF(AND('Calcul Nuturi'!$J$24=15, 'Calcul Nuturi'!$U$24=15, 'Calcul Nuturi'!$AF$24=15), 3,
IF(OR(AND('Calcul Nuturi'!$J$24=15, 'Calcul Nuturi'!$U$24=15),
      AND('Calcul Nuturi'!$J$24=15, 'Calcul Nuturi'!$AF$24=15),
      AND('Calcul Nuturi'!$U$24=15, 'Calcul Nuturi'!$AF$24=15)), 2,
IF(OR('Calcul Nuturi'!$J$24=15, 'Calcul Nuturi'!$U$24=15, 'Calcul Nuturi'!$AF$24=15), 1, 0)))</f>
        <v>0</v>
      </c>
      <c r="F48" s="286">
        <v>314</v>
      </c>
      <c r="G48" s="33">
        <f t="shared" si="2"/>
        <v>0</v>
      </c>
      <c r="H48" s="248">
        <f t="shared" si="0"/>
        <v>0</v>
      </c>
      <c r="I48" s="5"/>
      <c r="J48" s="5"/>
      <c r="K48" s="5"/>
      <c r="L48" s="5"/>
      <c r="M48" s="5"/>
      <c r="N48" s="5"/>
      <c r="O48" s="5"/>
      <c r="P48" s="5"/>
      <c r="Q48" s="5"/>
    </row>
    <row r="49" spans="1:26" ht="18" customHeight="1" thickBot="1">
      <c r="A49" s="12"/>
      <c r="B49" s="327" t="s">
        <v>129</v>
      </c>
      <c r="C49" s="328" t="s">
        <v>420</v>
      </c>
      <c r="D49" s="2" t="s">
        <v>11</v>
      </c>
      <c r="E49" s="28"/>
      <c r="F49" s="286">
        <v>54</v>
      </c>
      <c r="G49" s="33">
        <f t="shared" si="2"/>
        <v>0</v>
      </c>
      <c r="H49" s="248">
        <f t="shared" si="0"/>
        <v>0</v>
      </c>
      <c r="I49" s="247"/>
      <c r="J49" s="5"/>
      <c r="K49" s="5"/>
      <c r="L49" s="5"/>
      <c r="M49" s="5"/>
      <c r="N49" s="5"/>
      <c r="O49" s="5"/>
      <c r="P49" s="5"/>
      <c r="Q49" s="5"/>
    </row>
    <row r="50" spans="1:26" ht="18" customHeight="1" thickBot="1">
      <c r="A50" s="12"/>
      <c r="B50" s="327" t="s">
        <v>418</v>
      </c>
      <c r="C50" s="328" t="s">
        <v>419</v>
      </c>
      <c r="D50" s="2" t="s">
        <v>11</v>
      </c>
      <c r="E50" s="297"/>
      <c r="F50" s="286">
        <v>58</v>
      </c>
      <c r="G50" s="33">
        <f t="shared" si="2"/>
        <v>0</v>
      </c>
      <c r="H50" s="248">
        <f t="shared" si="0"/>
        <v>0</v>
      </c>
      <c r="I50" s="247"/>
      <c r="J50" s="5"/>
      <c r="K50" s="5"/>
      <c r="L50" s="5"/>
      <c r="M50" s="5"/>
      <c r="N50" s="5"/>
      <c r="O50" s="5"/>
      <c r="P50" s="5"/>
      <c r="Q50" s="5"/>
    </row>
    <row r="51" spans="1:26" ht="18" customHeight="1" thickBot="1">
      <c r="A51" s="12"/>
      <c r="B51" s="260" t="s">
        <v>421</v>
      </c>
      <c r="C51" s="332" t="s">
        <v>422</v>
      </c>
      <c r="D51" s="2" t="s">
        <v>11</v>
      </c>
      <c r="E51" s="297">
        <f>--OR('Calcul Nuturi'!$J$24=2,'Calcul Nuturi'!$J$24=3)
 +--OR('Calcul Nuturi'!$U$24=2,'Calcul Nuturi'!$U$24=3)
 +--OR('Calcul Nuturi'!$AF$24=2,'Calcul Nuturi'!$AF$24=3)</f>
        <v>0</v>
      </c>
      <c r="F51" s="286">
        <v>76</v>
      </c>
      <c r="G51" s="33">
        <f t="shared" si="2"/>
        <v>0</v>
      </c>
      <c r="H51" s="248">
        <f t="shared" si="0"/>
        <v>0</v>
      </c>
      <c r="I51" s="247"/>
      <c r="J51" s="5"/>
      <c r="K51" s="5"/>
      <c r="L51" s="5"/>
      <c r="M51" s="5"/>
      <c r="N51" s="5"/>
      <c r="O51" s="5"/>
      <c r="P51" s="5"/>
      <c r="Q51" s="5"/>
    </row>
    <row r="52" spans="1:26" ht="18" customHeight="1" thickBot="1">
      <c r="A52" s="12"/>
      <c r="B52" s="260" t="s">
        <v>412</v>
      </c>
      <c r="C52" s="332" t="s">
        <v>423</v>
      </c>
      <c r="D52" s="2" t="s">
        <v>11</v>
      </c>
      <c r="E52" s="297" cm="1">
        <f t="array" ref="E52">--OR('Calcul Nuturi'!$J$24={4,5,6,7})
 +--OR('Calcul Nuturi'!$U$24={4,5,6,7})
 +--OR('Calcul Nuturi'!$AF$24={4,5,6,7})</f>
        <v>0</v>
      </c>
      <c r="F52" s="286">
        <v>82</v>
      </c>
      <c r="G52" s="33">
        <f t="shared" si="2"/>
        <v>0</v>
      </c>
      <c r="H52" s="248">
        <f t="shared" si="0"/>
        <v>0</v>
      </c>
      <c r="I52" s="247"/>
      <c r="J52" s="5"/>
      <c r="K52" s="5"/>
      <c r="L52" s="5"/>
      <c r="M52" s="5"/>
      <c r="N52" s="5"/>
      <c r="O52" s="5"/>
      <c r="P52" s="5"/>
      <c r="Q52" s="5"/>
    </row>
    <row r="53" spans="1:26" ht="18" customHeight="1" thickBot="1">
      <c r="A53" s="12"/>
      <c r="B53" s="260" t="s">
        <v>130</v>
      </c>
      <c r="C53" s="332" t="s">
        <v>424</v>
      </c>
      <c r="D53" s="2" t="s">
        <v>11</v>
      </c>
      <c r="E53" s="297" cm="1">
        <f t="array" ref="E53">--OR('Calcul Nuturi'!$J$24={8,9,10,11})
 +--OR('Calcul Nuturi'!$U$24={8,9,10,11})
 +--OR('Calcul Nuturi'!$AF$24={8,9,10,11})</f>
        <v>0</v>
      </c>
      <c r="F53" s="286">
        <v>96</v>
      </c>
      <c r="G53" s="33">
        <f t="shared" si="2"/>
        <v>0</v>
      </c>
      <c r="H53" s="248">
        <f t="shared" si="0"/>
        <v>0</v>
      </c>
      <c r="I53" s="247"/>
      <c r="J53" s="5"/>
      <c r="K53" s="5"/>
      <c r="L53" s="5"/>
      <c r="M53" s="5"/>
      <c r="N53" s="5"/>
      <c r="O53" s="5"/>
      <c r="P53" s="5"/>
      <c r="Q53" s="5"/>
    </row>
    <row r="54" spans="1:26" ht="18" customHeight="1" thickBot="1">
      <c r="A54" s="12"/>
      <c r="B54" s="260" t="s">
        <v>131</v>
      </c>
      <c r="C54" s="332" t="s">
        <v>425</v>
      </c>
      <c r="D54" s="2" t="s">
        <v>11</v>
      </c>
      <c r="E54" s="297" cm="1">
        <f t="array" ref="E54">--OR('Calcul Nuturi'!$J$24={12,13})
 +--OR('Calcul Nuturi'!$U$24={12,13})
 +--OR('Calcul Nuturi'!$AF$24={12,13})</f>
        <v>0</v>
      </c>
      <c r="F54" s="286">
        <v>102</v>
      </c>
      <c r="G54" s="33">
        <f t="shared" si="2"/>
        <v>0</v>
      </c>
      <c r="H54" s="248">
        <f t="shared" si="0"/>
        <v>0</v>
      </c>
      <c r="I54" s="247"/>
      <c r="J54" s="5"/>
      <c r="K54" s="5"/>
      <c r="L54" s="5"/>
      <c r="M54" s="5"/>
      <c r="N54" s="5"/>
      <c r="O54" s="5"/>
      <c r="P54" s="5"/>
      <c r="Q54" s="5"/>
    </row>
    <row r="55" spans="1:26" ht="18" customHeight="1" thickBot="1">
      <c r="A55" s="12"/>
      <c r="B55" s="260" t="s">
        <v>325</v>
      </c>
      <c r="C55" s="332" t="s">
        <v>426</v>
      </c>
      <c r="D55" s="2" t="s">
        <v>11</v>
      </c>
      <c r="E55" s="297" cm="1">
        <f t="array" ref="E55">--OR('Calcul Nuturi'!$J$24={14,15})
 +--OR('Calcul Nuturi'!$U$24={14,15})
 +--OR('Calcul Nuturi'!$AF$24={14,15})</f>
        <v>0</v>
      </c>
      <c r="F55" s="286">
        <v>120</v>
      </c>
      <c r="G55" s="33">
        <f t="shared" si="2"/>
        <v>0</v>
      </c>
      <c r="H55" s="248">
        <f t="shared" si="0"/>
        <v>0</v>
      </c>
      <c r="I55" s="247"/>
      <c r="J55" s="5"/>
      <c r="K55" s="5"/>
      <c r="L55" s="5"/>
      <c r="M55" s="5"/>
      <c r="N55" s="5"/>
      <c r="O55" s="5"/>
      <c r="P55" s="5"/>
      <c r="Q55" s="5"/>
    </row>
    <row r="56" spans="1:26" ht="18" customHeight="1" thickBot="1">
      <c r="A56" s="12"/>
      <c r="B56" s="2" t="s">
        <v>86</v>
      </c>
      <c r="C56" s="13" t="s">
        <v>139</v>
      </c>
      <c r="D56" s="2" t="s">
        <v>13</v>
      </c>
      <c r="E56" s="2">
        <f>'Calcul Nuturi'!I24</f>
        <v>0</v>
      </c>
      <c r="F56" s="286">
        <v>4</v>
      </c>
      <c r="G56" s="33">
        <f t="shared" si="2"/>
        <v>0</v>
      </c>
      <c r="H56" s="248">
        <f>E56</f>
        <v>0</v>
      </c>
      <c r="I56" s="5"/>
      <c r="J56" s="5"/>
      <c r="K56" s="5"/>
      <c r="L56" s="5"/>
      <c r="M56" s="5"/>
      <c r="N56" s="5"/>
      <c r="O56" s="5"/>
      <c r="P56" s="5"/>
      <c r="Q56" s="5"/>
    </row>
    <row r="57" spans="1:26" ht="30.75" customHeight="1" thickBot="1">
      <c r="A57" s="35"/>
      <c r="B57" s="36" t="s">
        <v>128</v>
      </c>
      <c r="C57" s="37" t="s">
        <v>427</v>
      </c>
      <c r="D57" s="36" t="s">
        <v>11</v>
      </c>
      <c r="E57" s="135">
        <f>IF(AND('Calcul Nuturi'!J24=0,'Calcul Nuturi'!U24&gt;0),1,IF(AND('Calcul Nuturi'!J24&gt;0,'Calcul Nuturi'!U24=0),1,IF(AND('Calcul Nuturi'!J24&gt;0,'Calcul Nuturi'!U24&gt;0),2,0)))</f>
        <v>0</v>
      </c>
      <c r="F57" s="303">
        <v>342</v>
      </c>
      <c r="G57" s="38">
        <f t="shared" si="2"/>
        <v>0</v>
      </c>
      <c r="H57" s="248">
        <f>E57</f>
        <v>0</v>
      </c>
      <c r="I57" s="5"/>
      <c r="J57" s="5"/>
      <c r="K57" s="5"/>
      <c r="L57" s="5"/>
      <c r="M57" s="5"/>
      <c r="N57" s="5"/>
      <c r="O57" s="5"/>
      <c r="P57" s="5"/>
      <c r="Q57" s="5"/>
    </row>
    <row r="58" spans="1:26" ht="18.75" customHeight="1" thickTop="1" thickBot="1">
      <c r="A58" s="522" t="s">
        <v>25</v>
      </c>
      <c r="B58" s="540"/>
      <c r="C58" s="540"/>
      <c r="D58" s="540"/>
      <c r="E58" s="42"/>
      <c r="F58" s="43"/>
      <c r="G58" s="306">
        <f>SUM(G22:G57)</f>
        <v>0</v>
      </c>
      <c r="H58" s="249">
        <f>G58</f>
        <v>0</v>
      </c>
      <c r="I58" s="5"/>
      <c r="J58" s="5"/>
      <c r="K58" s="5"/>
      <c r="L58" s="5"/>
      <c r="M58" s="5"/>
      <c r="N58" s="5"/>
      <c r="O58" s="5"/>
      <c r="P58" s="5"/>
      <c r="Q58" s="5"/>
    </row>
    <row r="59" spans="1:26" ht="18.75" customHeight="1" thickTop="1" thickBot="1">
      <c r="A59" s="537" t="s">
        <v>156</v>
      </c>
      <c r="B59" s="573"/>
      <c r="C59" s="573"/>
      <c r="D59" s="573"/>
      <c r="E59" s="304">
        <v>0.05</v>
      </c>
      <c r="F59" s="10"/>
      <c r="G59" s="305">
        <f>G58*(1-E59)</f>
        <v>0</v>
      </c>
      <c r="H59" s="249">
        <f>G59</f>
        <v>0</v>
      </c>
      <c r="I59" s="5"/>
      <c r="J59" s="5"/>
      <c r="K59" s="5"/>
      <c r="L59" s="5"/>
      <c r="M59" s="5"/>
      <c r="N59" s="5"/>
      <c r="O59" s="5"/>
      <c r="P59" s="5"/>
      <c r="Q59" s="5"/>
    </row>
    <row r="60" spans="1:26" ht="17.25" customHeight="1" thickTop="1" thickBot="1">
      <c r="A60" s="522" t="s">
        <v>143</v>
      </c>
      <c r="B60" s="540"/>
      <c r="C60" s="540"/>
      <c r="D60" s="540"/>
      <c r="E60" s="42"/>
      <c r="F60" s="43"/>
      <c r="G60" s="48">
        <f>G59*1.21</f>
        <v>0</v>
      </c>
      <c r="H60" s="249">
        <f>G60</f>
        <v>0</v>
      </c>
      <c r="I60" s="5"/>
      <c r="J60" s="5"/>
      <c r="K60" s="5"/>
      <c r="M60" s="5"/>
      <c r="N60" s="5"/>
      <c r="O60" s="5"/>
      <c r="P60" s="5"/>
      <c r="Q60" s="5"/>
    </row>
    <row r="61" spans="1:26" ht="14.25" customHeight="1" thickTop="1">
      <c r="A61" s="14"/>
      <c r="B61" s="15"/>
      <c r="C61" s="15"/>
      <c r="D61" s="15"/>
      <c r="E61" s="15"/>
      <c r="F61" s="15"/>
      <c r="G61" s="15"/>
      <c r="H61" s="250" t="s">
        <v>83</v>
      </c>
      <c r="I61" s="5"/>
      <c r="J61" s="5"/>
      <c r="K61" s="5"/>
      <c r="M61" s="5"/>
      <c r="N61" s="5"/>
      <c r="O61" s="5"/>
      <c r="P61" s="5"/>
      <c r="Q61" s="5"/>
    </row>
    <row r="62" spans="1:26" ht="18" customHeight="1">
      <c r="A62" s="14" t="s">
        <v>184</v>
      </c>
      <c r="B62" s="15"/>
      <c r="C62" s="15"/>
      <c r="D62" s="15"/>
      <c r="E62" s="15"/>
      <c r="F62" s="15"/>
      <c r="G62" s="15"/>
      <c r="H62" s="250" t="s">
        <v>83</v>
      </c>
      <c r="I62" s="5"/>
      <c r="J62" s="81"/>
      <c r="K62" s="82"/>
      <c r="L62" s="82"/>
      <c r="M62" s="86"/>
      <c r="N62" s="86"/>
      <c r="O62" s="552"/>
      <c r="P62" s="69"/>
      <c r="Q62" s="69"/>
      <c r="R62" s="32"/>
      <c r="S62" s="92"/>
      <c r="T62" s="69"/>
      <c r="U62" s="69"/>
      <c r="V62" s="90"/>
      <c r="W62" s="86"/>
      <c r="X62" s="91"/>
      <c r="Y62" s="91"/>
      <c r="Z62" s="69"/>
    </row>
    <row r="63" spans="1:26" ht="18.75" customHeight="1">
      <c r="I63" s="5"/>
      <c r="J63" s="5"/>
      <c r="K63" s="5"/>
      <c r="L63" s="5"/>
      <c r="M63" s="5"/>
      <c r="N63" s="5"/>
      <c r="O63" s="552"/>
      <c r="P63" s="5"/>
      <c r="Q63" s="5"/>
    </row>
    <row r="64" spans="1:26" ht="18.75" customHeight="1">
      <c r="A64" s="541" t="s">
        <v>287</v>
      </c>
      <c r="B64" s="541"/>
      <c r="C64" s="541"/>
      <c r="D64" s="541"/>
      <c r="E64" s="541"/>
      <c r="F64" s="541"/>
      <c r="G64" s="541"/>
      <c r="H64" s="250">
        <f>SUM(H72:H107)</f>
        <v>0</v>
      </c>
      <c r="I64" s="5"/>
      <c r="J64" s="5"/>
      <c r="K64" s="5"/>
      <c r="L64" s="5"/>
      <c r="M64" s="5"/>
      <c r="N64" s="5"/>
      <c r="O64" s="552"/>
      <c r="P64" s="5"/>
      <c r="Q64" s="5"/>
    </row>
    <row r="65" spans="1:24" ht="18" customHeight="1">
      <c r="A65" s="72"/>
      <c r="B65" s="72"/>
      <c r="C65" s="72"/>
      <c r="D65" s="72"/>
      <c r="E65" s="72"/>
      <c r="F65" s="72"/>
      <c r="G65" s="72"/>
      <c r="H65" s="250"/>
      <c r="I65" s="5"/>
      <c r="J65" s="5"/>
      <c r="K65" s="5"/>
      <c r="L65" s="5"/>
      <c r="M65" s="5"/>
      <c r="N65" s="5"/>
      <c r="O65" s="552"/>
      <c r="P65" s="5"/>
      <c r="Q65" s="5"/>
    </row>
    <row r="66" spans="1:24">
      <c r="A66" s="533" t="s">
        <v>26</v>
      </c>
      <c r="B66" s="533"/>
      <c r="C66" s="533"/>
      <c r="D66" s="533"/>
      <c r="E66" s="533"/>
      <c r="F66" s="533"/>
      <c r="G66" s="533"/>
      <c r="H66" s="250">
        <f>G83</f>
        <v>0</v>
      </c>
      <c r="I66" s="5"/>
      <c r="J66" s="5"/>
      <c r="K66" s="5"/>
      <c r="L66" s="5"/>
      <c r="M66" s="5"/>
      <c r="N66" s="5"/>
      <c r="O66" s="552"/>
      <c r="P66" s="5"/>
      <c r="Q66" s="5"/>
    </row>
    <row r="67" spans="1:24" ht="15.75" customHeight="1">
      <c r="A67" s="544"/>
      <c r="B67" s="544"/>
      <c r="C67" s="544"/>
      <c r="D67" s="544"/>
      <c r="E67" s="544"/>
      <c r="F67" s="544"/>
      <c r="G67" s="544"/>
      <c r="H67" s="249">
        <f>G83</f>
        <v>0</v>
      </c>
      <c r="I67" s="5"/>
      <c r="J67" s="5"/>
      <c r="K67" s="5"/>
      <c r="L67" s="5"/>
      <c r="M67" s="5"/>
      <c r="N67" s="5"/>
      <c r="O67" s="552"/>
      <c r="P67" s="5"/>
      <c r="Q67" s="5"/>
    </row>
    <row r="68" spans="1:24" ht="18.75" customHeight="1" thickBot="1">
      <c r="A68" s="16"/>
      <c r="B68" s="15"/>
      <c r="C68" s="15"/>
      <c r="D68" s="15"/>
      <c r="E68" s="15"/>
      <c r="F68" s="15"/>
      <c r="G68" s="15"/>
      <c r="H68" s="249">
        <f>G83</f>
        <v>0</v>
      </c>
      <c r="I68" s="5"/>
      <c r="J68" s="5"/>
      <c r="K68" s="5"/>
      <c r="L68" s="5"/>
      <c r="M68" s="5"/>
      <c r="N68" s="5"/>
      <c r="O68" s="552"/>
      <c r="P68" s="5"/>
      <c r="Q68" s="5"/>
    </row>
    <row r="69" spans="1:24" ht="24" customHeight="1" thickTop="1">
      <c r="A69" s="6" t="s">
        <v>1</v>
      </c>
      <c r="B69" s="518" t="s">
        <v>3</v>
      </c>
      <c r="C69" s="518" t="s">
        <v>4</v>
      </c>
      <c r="D69" s="518" t="s">
        <v>5</v>
      </c>
      <c r="E69" s="518" t="s">
        <v>6</v>
      </c>
      <c r="F69" s="7" t="s">
        <v>7</v>
      </c>
      <c r="G69" s="8" t="s">
        <v>9</v>
      </c>
      <c r="H69" s="249">
        <f>G83</f>
        <v>0</v>
      </c>
      <c r="I69" s="5"/>
      <c r="J69" s="5"/>
      <c r="K69" s="5"/>
      <c r="L69" s="5"/>
      <c r="M69" s="5"/>
      <c r="N69" s="5"/>
      <c r="O69" s="552"/>
      <c r="P69" s="5"/>
      <c r="Q69" s="5"/>
    </row>
    <row r="70" spans="1:24" ht="27.75" customHeight="1" thickBot="1">
      <c r="A70" s="17" t="s">
        <v>2</v>
      </c>
      <c r="B70" s="527"/>
      <c r="C70" s="527"/>
      <c r="D70" s="527"/>
      <c r="E70" s="527"/>
      <c r="F70" s="18" t="s">
        <v>8</v>
      </c>
      <c r="G70" s="19" t="s">
        <v>8</v>
      </c>
      <c r="H70" s="249">
        <f>G83</f>
        <v>0</v>
      </c>
      <c r="I70" s="5"/>
      <c r="J70" s="5"/>
      <c r="K70" s="5"/>
      <c r="L70" s="5"/>
      <c r="M70" s="5"/>
      <c r="N70" s="5"/>
      <c r="O70" s="552"/>
      <c r="P70" s="5"/>
      <c r="Q70" s="5"/>
      <c r="S70" s="5"/>
      <c r="T70" s="5"/>
      <c r="U70" s="5"/>
      <c r="V70" s="5"/>
      <c r="W70" s="5"/>
      <c r="X70" s="5"/>
    </row>
    <row r="71" spans="1:24" ht="18" customHeight="1" thickTop="1" thickBot="1">
      <c r="A71" s="571" t="s">
        <v>27</v>
      </c>
      <c r="B71" s="578"/>
      <c r="C71" s="578"/>
      <c r="D71" s="165"/>
      <c r="E71" s="165"/>
      <c r="F71" s="165"/>
      <c r="G71" s="153"/>
      <c r="H71" s="248">
        <f>SUM(H72:H74)</f>
        <v>0</v>
      </c>
      <c r="I71" s="5"/>
      <c r="J71" s="5"/>
      <c r="K71" s="5"/>
      <c r="L71" s="5"/>
      <c r="M71" s="5"/>
      <c r="N71" s="5"/>
      <c r="O71" s="552"/>
      <c r="P71" s="5"/>
      <c r="Q71" s="5"/>
    </row>
    <row r="72" spans="1:24" ht="27.75" customHeight="1" thickTop="1" thickBot="1">
      <c r="A72" s="12"/>
      <c r="B72" s="3" t="s">
        <v>28</v>
      </c>
      <c r="C72" s="13" t="s">
        <v>182</v>
      </c>
      <c r="D72" s="3" t="s">
        <v>11</v>
      </c>
      <c r="E72" s="3">
        <f>'Calcul Nuturi'!K22</f>
        <v>0</v>
      </c>
      <c r="F72" s="287">
        <v>179</v>
      </c>
      <c r="G72" s="213">
        <f>E72*F72</f>
        <v>0</v>
      </c>
      <c r="H72" s="248">
        <f>E72</f>
        <v>0</v>
      </c>
      <c r="I72" s="5"/>
      <c r="J72" s="5"/>
      <c r="K72" s="5"/>
      <c r="L72" s="5"/>
      <c r="M72" s="5"/>
      <c r="N72" s="5"/>
      <c r="O72" s="5"/>
      <c r="P72" s="5"/>
      <c r="Q72" s="5"/>
    </row>
    <row r="73" spans="1:24" ht="18" customHeight="1" thickBot="1">
      <c r="A73" s="12"/>
      <c r="B73" s="3" t="s">
        <v>29</v>
      </c>
      <c r="C73" s="13" t="s">
        <v>30</v>
      </c>
      <c r="D73" s="3" t="s">
        <v>11</v>
      </c>
      <c r="E73" s="3">
        <f>'Calcul Nuturi'!H24</f>
        <v>0</v>
      </c>
      <c r="F73" s="286">
        <v>17</v>
      </c>
      <c r="G73" s="213">
        <f t="shared" ref="G73:G78" si="3">E73*F73</f>
        <v>0</v>
      </c>
      <c r="H73" s="248">
        <f t="shared" ref="H73:H78" si="4">E73</f>
        <v>0</v>
      </c>
      <c r="I73" s="5"/>
      <c r="J73" s="5"/>
      <c r="K73" s="5"/>
      <c r="L73" s="5"/>
      <c r="M73" s="5"/>
      <c r="N73" s="5"/>
      <c r="O73" s="5"/>
      <c r="P73" s="5"/>
      <c r="Q73" s="5"/>
    </row>
    <row r="74" spans="1:24" ht="18" customHeight="1" thickBot="1">
      <c r="A74" s="35"/>
      <c r="B74" s="40" t="s">
        <v>31</v>
      </c>
      <c r="C74" s="37" t="s">
        <v>183</v>
      </c>
      <c r="D74" s="40" t="s">
        <v>11</v>
      </c>
      <c r="E74" s="40">
        <f>IF(OR('Calcul Nuturi'!J22=0),0,'Calcul Nuturi'!J22-1)</f>
        <v>0</v>
      </c>
      <c r="F74" s="288">
        <v>41</v>
      </c>
      <c r="G74" s="214">
        <f t="shared" si="3"/>
        <v>0</v>
      </c>
      <c r="H74" s="248">
        <f t="shared" si="4"/>
        <v>0</v>
      </c>
      <c r="I74" s="5"/>
      <c r="J74" s="5"/>
      <c r="K74" s="5"/>
      <c r="L74" s="5"/>
      <c r="M74" s="5"/>
      <c r="N74" s="5"/>
      <c r="O74" s="5"/>
      <c r="P74" s="5"/>
      <c r="Q74" s="5"/>
    </row>
    <row r="75" spans="1:24" ht="18" customHeight="1" thickTop="1" thickBot="1">
      <c r="A75" s="571" t="s">
        <v>326</v>
      </c>
      <c r="B75" s="572"/>
      <c r="C75" s="572"/>
      <c r="D75" s="165"/>
      <c r="E75" s="165"/>
      <c r="F75" s="14"/>
      <c r="G75" s="215"/>
      <c r="H75" s="248">
        <f>SUM(H76:H78)</f>
        <v>0</v>
      </c>
      <c r="I75" s="5"/>
      <c r="J75" s="5"/>
      <c r="K75" s="5"/>
      <c r="L75" s="5"/>
      <c r="M75" s="5"/>
      <c r="N75" s="5"/>
      <c r="O75" s="5"/>
      <c r="P75" s="5"/>
      <c r="Q75" s="5"/>
    </row>
    <row r="76" spans="1:24" ht="27.75" customHeight="1" thickTop="1" thickBot="1">
      <c r="A76" s="12"/>
      <c r="B76" s="3" t="s">
        <v>28</v>
      </c>
      <c r="C76" s="13" t="s">
        <v>182</v>
      </c>
      <c r="D76" s="3" t="s">
        <v>11</v>
      </c>
      <c r="E76" s="3">
        <f>'Calcul Nuturi'!V22</f>
        <v>0</v>
      </c>
      <c r="F76" s="287">
        <v>179</v>
      </c>
      <c r="G76" s="213">
        <f t="shared" si="3"/>
        <v>0</v>
      </c>
      <c r="H76" s="248">
        <f t="shared" si="4"/>
        <v>0</v>
      </c>
      <c r="I76" s="5"/>
      <c r="J76" s="5"/>
      <c r="K76" s="5"/>
      <c r="L76" s="5"/>
      <c r="M76" s="5"/>
      <c r="N76" s="5"/>
      <c r="O76" s="5"/>
      <c r="P76" s="5"/>
      <c r="Q76" s="5"/>
    </row>
    <row r="77" spans="1:24" ht="18" customHeight="1" thickBot="1">
      <c r="A77" s="12"/>
      <c r="B77" s="3" t="s">
        <v>29</v>
      </c>
      <c r="C77" s="13" t="s">
        <v>30</v>
      </c>
      <c r="D77" s="3" t="s">
        <v>11</v>
      </c>
      <c r="E77" s="3">
        <f>'Calcul Nuturi'!S24</f>
        <v>0</v>
      </c>
      <c r="F77" s="286">
        <v>17</v>
      </c>
      <c r="G77" s="213">
        <f t="shared" si="3"/>
        <v>0</v>
      </c>
      <c r="H77" s="248">
        <f t="shared" si="4"/>
        <v>0</v>
      </c>
      <c r="I77" s="5"/>
      <c r="J77" s="5"/>
      <c r="K77" s="5"/>
      <c r="L77" s="5"/>
      <c r="M77" s="5"/>
      <c r="N77" s="5"/>
      <c r="O77" s="5"/>
      <c r="P77" s="5"/>
      <c r="Q77" s="5"/>
    </row>
    <row r="78" spans="1:24" ht="18" customHeight="1" thickBot="1">
      <c r="A78" s="35"/>
      <c r="B78" s="40" t="s">
        <v>31</v>
      </c>
      <c r="C78" s="37" t="s">
        <v>183</v>
      </c>
      <c r="D78" s="40" t="s">
        <v>11</v>
      </c>
      <c r="E78" s="40">
        <f>IF(OR('Calcul Nuturi'!U22=0),0,'Calcul Nuturi'!U22-1)</f>
        <v>0</v>
      </c>
      <c r="F78" s="288">
        <v>41</v>
      </c>
      <c r="G78" s="214">
        <f t="shared" si="3"/>
        <v>0</v>
      </c>
      <c r="H78" s="248">
        <f t="shared" si="4"/>
        <v>0</v>
      </c>
      <c r="I78" s="5"/>
      <c r="J78" s="5"/>
      <c r="K78" s="5"/>
      <c r="L78" s="5"/>
      <c r="M78" s="5"/>
      <c r="N78" s="5"/>
      <c r="O78" s="5"/>
      <c r="P78" s="5"/>
      <c r="Q78" s="5"/>
    </row>
    <row r="79" spans="1:24" ht="18" customHeight="1" thickTop="1" thickBot="1">
      <c r="A79" s="571" t="s">
        <v>32</v>
      </c>
      <c r="B79" s="572"/>
      <c r="C79" s="572"/>
      <c r="D79" s="165"/>
      <c r="E79" s="165"/>
      <c r="F79" s="14"/>
      <c r="G79" s="215"/>
      <c r="H79" s="248">
        <f>SUM(H80:H82)</f>
        <v>0</v>
      </c>
      <c r="I79" s="5"/>
      <c r="J79" s="5"/>
      <c r="K79" s="5"/>
      <c r="L79" s="5"/>
      <c r="M79" s="5"/>
      <c r="N79" s="5"/>
      <c r="O79" s="5"/>
      <c r="P79" s="5"/>
      <c r="Q79" s="5"/>
    </row>
    <row r="80" spans="1:24" ht="27" customHeight="1" thickTop="1" thickBot="1">
      <c r="A80" s="12"/>
      <c r="B80" s="3" t="s">
        <v>28</v>
      </c>
      <c r="C80" s="13" t="s">
        <v>182</v>
      </c>
      <c r="D80" s="3" t="s">
        <v>11</v>
      </c>
      <c r="E80" s="3">
        <f>'Calcul Nuturi'!AG22</f>
        <v>0</v>
      </c>
      <c r="F80" s="287">
        <v>179</v>
      </c>
      <c r="G80" s="213">
        <f>E80*F80</f>
        <v>0</v>
      </c>
      <c r="H80" s="248">
        <f>E80</f>
        <v>0</v>
      </c>
      <c r="I80" s="5"/>
      <c r="J80" s="5"/>
      <c r="K80" s="5"/>
      <c r="L80" s="5"/>
      <c r="M80" s="5"/>
      <c r="N80" s="5"/>
      <c r="O80" s="5"/>
      <c r="P80" s="5"/>
      <c r="Q80" s="5"/>
    </row>
    <row r="81" spans="1:17" ht="18" customHeight="1" thickBot="1">
      <c r="A81" s="12"/>
      <c r="B81" s="3" t="s">
        <v>29</v>
      </c>
      <c r="C81" s="13" t="s">
        <v>30</v>
      </c>
      <c r="D81" s="3" t="s">
        <v>11</v>
      </c>
      <c r="E81" s="3">
        <f>'Calcul Nuturi'!AD24</f>
        <v>0</v>
      </c>
      <c r="F81" s="286">
        <v>17</v>
      </c>
      <c r="G81" s="213">
        <f>E81*F81</f>
        <v>0</v>
      </c>
      <c r="H81" s="248">
        <f>E81</f>
        <v>0</v>
      </c>
      <c r="I81" s="5"/>
      <c r="J81" s="5"/>
      <c r="K81" s="5"/>
      <c r="L81" s="5"/>
      <c r="M81" s="5"/>
      <c r="N81" s="5"/>
      <c r="O81" s="5"/>
      <c r="P81" s="5"/>
      <c r="Q81" s="5"/>
    </row>
    <row r="82" spans="1:17" ht="18" customHeight="1" thickBot="1">
      <c r="A82" s="35"/>
      <c r="B82" s="40" t="s">
        <v>31</v>
      </c>
      <c r="C82" s="37" t="s">
        <v>183</v>
      </c>
      <c r="D82" s="40" t="s">
        <v>11</v>
      </c>
      <c r="E82" s="40">
        <f>IF(OR('Calcul Nuturi'!AF22=0),0,'Calcul Nuturi'!AF22-1)</f>
        <v>0</v>
      </c>
      <c r="F82" s="288">
        <v>41</v>
      </c>
      <c r="G82" s="216">
        <f>E82*F82</f>
        <v>0</v>
      </c>
      <c r="H82" s="248">
        <f>E82</f>
        <v>0</v>
      </c>
      <c r="I82" s="5"/>
      <c r="J82" s="5"/>
      <c r="K82" s="5"/>
      <c r="L82" s="5"/>
      <c r="M82" s="5"/>
      <c r="N82" s="5"/>
      <c r="O82" s="5"/>
      <c r="P82" s="5"/>
      <c r="Q82" s="5"/>
    </row>
    <row r="83" spans="1:17" ht="18" customHeight="1" thickTop="1" thickBot="1">
      <c r="A83" s="522" t="s">
        <v>25</v>
      </c>
      <c r="B83" s="523"/>
      <c r="C83" s="523"/>
      <c r="D83" s="523"/>
      <c r="E83" s="523"/>
      <c r="F83" s="577"/>
      <c r="G83" s="217">
        <f>SUM(G72:G82)</f>
        <v>0</v>
      </c>
      <c r="H83" s="251">
        <f>G83</f>
        <v>0</v>
      </c>
      <c r="I83" s="5"/>
      <c r="J83" s="5"/>
      <c r="K83" s="5"/>
      <c r="L83" s="5"/>
      <c r="M83" s="5"/>
      <c r="N83" s="5"/>
      <c r="O83" s="5"/>
      <c r="P83" s="5"/>
      <c r="Q83" s="5"/>
    </row>
    <row r="84" spans="1:17" ht="18" customHeight="1" thickTop="1" thickBot="1">
      <c r="A84" s="537" t="s">
        <v>157</v>
      </c>
      <c r="B84" s="546"/>
      <c r="C84" s="546"/>
      <c r="D84" s="546"/>
      <c r="E84" s="304">
        <v>0.05</v>
      </c>
      <c r="F84" s="265"/>
      <c r="G84" s="98">
        <f>G83*(1-E84)</f>
        <v>0</v>
      </c>
      <c r="H84" s="251">
        <f>G84</f>
        <v>0</v>
      </c>
      <c r="I84" s="5"/>
      <c r="J84" s="5"/>
      <c r="K84" s="5"/>
      <c r="L84" s="5"/>
      <c r="M84" s="5"/>
      <c r="N84" s="5"/>
      <c r="O84" s="5"/>
      <c r="P84" s="5"/>
      <c r="Q84" s="5"/>
    </row>
    <row r="85" spans="1:17" ht="18" customHeight="1" thickTop="1" thickBot="1">
      <c r="A85" s="547" t="s">
        <v>143</v>
      </c>
      <c r="B85" s="548"/>
      <c r="C85" s="548"/>
      <c r="D85" s="548"/>
      <c r="E85" s="548"/>
      <c r="F85" s="548"/>
      <c r="G85" s="99">
        <f>G84*1.21</f>
        <v>0</v>
      </c>
      <c r="H85" s="251">
        <f>G85</f>
        <v>0</v>
      </c>
      <c r="I85" s="5"/>
      <c r="J85" s="5"/>
      <c r="K85" s="5"/>
      <c r="L85" s="5"/>
      <c r="M85" s="5"/>
      <c r="N85" s="5"/>
      <c r="O85" s="5"/>
      <c r="P85" s="5"/>
      <c r="Q85" s="5"/>
    </row>
    <row r="86" spans="1:17" ht="18.75" customHeight="1" thickTop="1">
      <c r="A86" s="53"/>
      <c r="B86" s="53"/>
      <c r="C86" s="53"/>
      <c r="D86" s="53"/>
      <c r="E86" s="53"/>
      <c r="F86" s="53"/>
      <c r="G86" s="218"/>
      <c r="H86" s="251"/>
      <c r="I86" s="5"/>
      <c r="J86" s="5"/>
      <c r="K86" s="5"/>
      <c r="L86" s="5"/>
      <c r="M86" s="5"/>
      <c r="N86" s="5"/>
      <c r="O86" s="5"/>
      <c r="P86" s="5"/>
      <c r="Q86" s="5"/>
    </row>
    <row r="87" spans="1:17" ht="18" customHeight="1">
      <c r="A87" s="14"/>
      <c r="B87" s="15"/>
      <c r="C87" s="15"/>
      <c r="D87" s="15"/>
      <c r="E87" s="15"/>
      <c r="F87" s="15"/>
      <c r="G87" s="15"/>
      <c r="H87" s="251">
        <f>G105</f>
        <v>0</v>
      </c>
      <c r="I87" s="5"/>
      <c r="J87" s="5"/>
      <c r="K87" s="5"/>
      <c r="L87" s="5"/>
      <c r="M87" s="5"/>
      <c r="N87" s="5"/>
      <c r="O87" s="5"/>
      <c r="P87" s="5"/>
      <c r="Q87" s="5"/>
    </row>
    <row r="88" spans="1:17" ht="15.9" customHeight="1">
      <c r="A88" s="549" t="s">
        <v>178</v>
      </c>
      <c r="B88" s="549"/>
      <c r="C88" s="549"/>
      <c r="D88" s="549"/>
      <c r="E88" s="549"/>
      <c r="F88" s="549"/>
      <c r="G88" s="549"/>
      <c r="H88" s="251">
        <f>G105</f>
        <v>0</v>
      </c>
      <c r="I88" s="5"/>
      <c r="J88" s="5"/>
      <c r="K88" s="5"/>
      <c r="L88" s="5"/>
      <c r="M88" s="5"/>
      <c r="N88" s="5"/>
      <c r="O88" s="5"/>
      <c r="P88" s="5"/>
      <c r="Q88" s="5"/>
    </row>
    <row r="89" spans="1:17" ht="15.75" customHeight="1">
      <c r="A89" s="544"/>
      <c r="B89" s="544"/>
      <c r="C89" s="544"/>
      <c r="D89" s="544"/>
      <c r="E89" s="544"/>
      <c r="F89" s="544"/>
      <c r="G89" s="544"/>
      <c r="H89" s="251">
        <f>G105</f>
        <v>0</v>
      </c>
      <c r="I89" s="5"/>
      <c r="J89" s="5"/>
      <c r="K89" s="5"/>
      <c r="L89" s="5"/>
      <c r="M89" s="5"/>
      <c r="N89" s="5"/>
      <c r="O89" s="5"/>
      <c r="P89" s="5"/>
      <c r="Q89" s="5"/>
    </row>
    <row r="90" spans="1:17" ht="18" customHeight="1" thickBot="1">
      <c r="A90" s="16"/>
      <c r="B90" s="15"/>
      <c r="C90" s="15"/>
      <c r="D90" s="15"/>
      <c r="E90" s="15"/>
      <c r="F90" s="15"/>
      <c r="G90" s="15"/>
      <c r="H90" s="251">
        <f>G105</f>
        <v>0</v>
      </c>
      <c r="I90" s="5"/>
      <c r="J90" s="5"/>
      <c r="K90" s="5"/>
      <c r="L90" s="5"/>
      <c r="M90" s="5"/>
      <c r="N90" s="5"/>
      <c r="O90" s="5"/>
      <c r="P90" s="5"/>
      <c r="Q90" s="5"/>
    </row>
    <row r="91" spans="1:17" ht="24" customHeight="1" thickTop="1">
      <c r="A91" s="6" t="s">
        <v>1</v>
      </c>
      <c r="B91" s="518" t="s">
        <v>3</v>
      </c>
      <c r="C91" s="518" t="s">
        <v>4</v>
      </c>
      <c r="D91" s="518" t="s">
        <v>5</v>
      </c>
      <c r="E91" s="518" t="s">
        <v>6</v>
      </c>
      <c r="F91" s="7" t="s">
        <v>7</v>
      </c>
      <c r="G91" s="8" t="s">
        <v>9</v>
      </c>
      <c r="H91" s="251">
        <f>G105</f>
        <v>0</v>
      </c>
      <c r="I91" s="5"/>
      <c r="J91" s="5"/>
      <c r="K91" s="5"/>
      <c r="L91" s="5"/>
      <c r="M91" s="5"/>
      <c r="N91" s="5"/>
      <c r="O91" s="5"/>
      <c r="P91" s="5"/>
      <c r="Q91" s="5"/>
    </row>
    <row r="92" spans="1:17" ht="25.5" customHeight="1" thickBot="1">
      <c r="A92" s="17" t="s">
        <v>2</v>
      </c>
      <c r="B92" s="527"/>
      <c r="C92" s="527"/>
      <c r="D92" s="527"/>
      <c r="E92" s="527"/>
      <c r="F92" s="18" t="s">
        <v>8</v>
      </c>
      <c r="G92" s="19" t="s">
        <v>8</v>
      </c>
      <c r="H92" s="251">
        <f>G105</f>
        <v>0</v>
      </c>
      <c r="I92" s="5"/>
      <c r="J92" s="5"/>
      <c r="K92" s="5"/>
      <c r="L92" s="5"/>
      <c r="M92" s="5"/>
      <c r="N92" s="5"/>
      <c r="O92" s="5"/>
      <c r="P92" s="5"/>
      <c r="Q92" s="5"/>
    </row>
    <row r="93" spans="1:17" ht="18" customHeight="1" thickTop="1" thickBot="1">
      <c r="A93" s="571" t="s">
        <v>27</v>
      </c>
      <c r="B93" s="578"/>
      <c r="C93" s="578"/>
      <c r="D93" s="165"/>
      <c r="E93" s="165"/>
      <c r="F93" s="165"/>
      <c r="G93" s="153"/>
      <c r="H93" s="248">
        <f>SUM(H94:H96)</f>
        <v>0</v>
      </c>
      <c r="I93" s="5"/>
      <c r="J93" s="5"/>
      <c r="K93" s="5"/>
      <c r="L93" s="5"/>
      <c r="M93" s="5"/>
      <c r="N93" s="5"/>
      <c r="O93" s="5"/>
      <c r="P93" s="5"/>
      <c r="Q93" s="5"/>
    </row>
    <row r="94" spans="1:17" ht="28.5" customHeight="1" thickTop="1" thickBot="1">
      <c r="A94" s="12"/>
      <c r="B94" s="3" t="s">
        <v>376</v>
      </c>
      <c r="C94" s="13" t="s">
        <v>379</v>
      </c>
      <c r="D94" s="3" t="s">
        <v>11</v>
      </c>
      <c r="E94" s="3">
        <f>'Calcul Nuturi'!K22</f>
        <v>0</v>
      </c>
      <c r="F94" s="287">
        <v>229</v>
      </c>
      <c r="G94" s="213">
        <f>E94*F94</f>
        <v>0</v>
      </c>
      <c r="H94" s="248">
        <f>E94</f>
        <v>0</v>
      </c>
      <c r="I94" s="5"/>
      <c r="J94" s="5"/>
      <c r="K94" s="5"/>
      <c r="L94" s="5"/>
      <c r="M94" s="5"/>
      <c r="N94" s="5"/>
      <c r="O94" s="5"/>
      <c r="P94" s="5"/>
      <c r="Q94" s="5"/>
    </row>
    <row r="95" spans="1:17" ht="18" customHeight="1" thickBot="1">
      <c r="A95" s="12"/>
      <c r="B95" s="3" t="s">
        <v>29</v>
      </c>
      <c r="C95" s="13" t="s">
        <v>30</v>
      </c>
      <c r="D95" s="3" t="s">
        <v>11</v>
      </c>
      <c r="E95" s="3">
        <f>'Calcul Nuturi'!H24</f>
        <v>0</v>
      </c>
      <c r="F95" s="286">
        <v>17</v>
      </c>
      <c r="G95" s="213">
        <f t="shared" ref="G95:G104" si="5">E95*F95</f>
        <v>0</v>
      </c>
      <c r="H95" s="248">
        <f>E95</f>
        <v>0</v>
      </c>
      <c r="I95" s="5"/>
      <c r="J95" s="5"/>
      <c r="K95" s="5"/>
      <c r="L95" s="5"/>
      <c r="M95" s="5"/>
      <c r="N95" s="5"/>
      <c r="O95" s="5"/>
      <c r="P95" s="5"/>
      <c r="Q95" s="5"/>
    </row>
    <row r="96" spans="1:17" ht="18" customHeight="1" thickBot="1">
      <c r="A96" s="35"/>
      <c r="B96" s="40" t="s">
        <v>377</v>
      </c>
      <c r="C96" s="37" t="s">
        <v>378</v>
      </c>
      <c r="D96" s="40" t="s">
        <v>11</v>
      </c>
      <c r="E96" s="40">
        <f>'Calcul Nuturi'!J22</f>
        <v>0</v>
      </c>
      <c r="F96" s="303">
        <v>63</v>
      </c>
      <c r="G96" s="214">
        <f t="shared" si="5"/>
        <v>0</v>
      </c>
      <c r="H96" s="248">
        <f>E96</f>
        <v>0</v>
      </c>
      <c r="I96" s="5"/>
      <c r="J96" s="5"/>
      <c r="K96" s="5"/>
      <c r="L96" s="5"/>
      <c r="M96" s="5"/>
      <c r="N96" s="5"/>
      <c r="O96" s="5"/>
      <c r="P96" s="5"/>
      <c r="Q96" s="5"/>
    </row>
    <row r="97" spans="1:17" ht="18" customHeight="1" thickTop="1" thickBot="1">
      <c r="A97" s="571" t="s">
        <v>326</v>
      </c>
      <c r="B97" s="572"/>
      <c r="C97" s="572"/>
      <c r="D97" s="165"/>
      <c r="E97" s="165"/>
      <c r="F97" s="309"/>
      <c r="G97" s="215"/>
      <c r="H97" s="248">
        <f>SUM(H98:H100)</f>
        <v>0</v>
      </c>
      <c r="I97" s="5"/>
      <c r="J97" s="5"/>
      <c r="K97" s="5"/>
      <c r="L97" s="5"/>
      <c r="M97" s="5"/>
      <c r="N97" s="5"/>
      <c r="O97" s="5"/>
      <c r="P97" s="5"/>
      <c r="Q97" s="5"/>
    </row>
    <row r="98" spans="1:17" ht="27.75" customHeight="1" thickTop="1" thickBot="1">
      <c r="A98" s="12"/>
      <c r="B98" s="3" t="s">
        <v>376</v>
      </c>
      <c r="C98" s="13" t="s">
        <v>379</v>
      </c>
      <c r="D98" s="3" t="s">
        <v>11</v>
      </c>
      <c r="E98" s="3">
        <f>'Calcul Nuturi'!V22</f>
        <v>0</v>
      </c>
      <c r="F98" s="287">
        <v>229</v>
      </c>
      <c r="G98" s="213">
        <f>E98*F98</f>
        <v>0</v>
      </c>
      <c r="H98" s="248">
        <f>E98</f>
        <v>0</v>
      </c>
      <c r="I98" s="5"/>
      <c r="J98" s="5"/>
      <c r="K98" s="5"/>
      <c r="L98" s="5"/>
      <c r="M98" s="5"/>
      <c r="N98" s="5"/>
      <c r="O98" s="5"/>
      <c r="P98" s="5"/>
      <c r="Q98" s="5"/>
    </row>
    <row r="99" spans="1:17" ht="18" customHeight="1" thickBot="1">
      <c r="A99" s="12"/>
      <c r="B99" s="3" t="s">
        <v>29</v>
      </c>
      <c r="C99" s="13" t="s">
        <v>30</v>
      </c>
      <c r="D99" s="3" t="s">
        <v>11</v>
      </c>
      <c r="E99" s="3">
        <f>'Calcul Nuturi'!S24</f>
        <v>0</v>
      </c>
      <c r="F99" s="286">
        <v>17</v>
      </c>
      <c r="G99" s="213">
        <f>E99*F99</f>
        <v>0</v>
      </c>
      <c r="H99" s="248">
        <f>E99</f>
        <v>0</v>
      </c>
      <c r="I99" s="5"/>
      <c r="J99" s="5"/>
      <c r="K99" s="5"/>
      <c r="L99" s="5"/>
      <c r="M99" s="5"/>
      <c r="N99" s="5"/>
      <c r="O99" s="5"/>
      <c r="P99" s="5"/>
      <c r="Q99" s="5"/>
    </row>
    <row r="100" spans="1:17" ht="18" customHeight="1" thickBot="1">
      <c r="A100" s="35"/>
      <c r="B100" s="40" t="s">
        <v>377</v>
      </c>
      <c r="C100" s="37" t="s">
        <v>378</v>
      </c>
      <c r="D100" s="40" t="s">
        <v>11</v>
      </c>
      <c r="E100" s="40">
        <f>'Calcul Nuturi'!U22</f>
        <v>0</v>
      </c>
      <c r="F100" s="303">
        <v>63</v>
      </c>
      <c r="G100" s="214">
        <f>E100*F100</f>
        <v>0</v>
      </c>
      <c r="H100" s="248">
        <f>E100</f>
        <v>0</v>
      </c>
      <c r="I100" s="5"/>
    </row>
    <row r="101" spans="1:17" ht="18" customHeight="1" thickTop="1" thickBot="1">
      <c r="A101" s="571" t="s">
        <v>32</v>
      </c>
      <c r="B101" s="572"/>
      <c r="C101" s="572"/>
      <c r="D101" s="165"/>
      <c r="E101" s="165"/>
      <c r="F101" s="310"/>
      <c r="G101" s="215"/>
      <c r="H101" s="248">
        <f>SUM(H102:H104)</f>
        <v>0</v>
      </c>
      <c r="I101" s="5"/>
    </row>
    <row r="102" spans="1:17" ht="26.25" customHeight="1" thickTop="1" thickBot="1">
      <c r="A102" s="12"/>
      <c r="B102" s="3" t="s">
        <v>376</v>
      </c>
      <c r="C102" s="13" t="s">
        <v>379</v>
      </c>
      <c r="D102" s="3" t="s">
        <v>11</v>
      </c>
      <c r="E102" s="3">
        <f>'Calcul Nuturi'!AG22</f>
        <v>0</v>
      </c>
      <c r="F102" s="287">
        <v>229</v>
      </c>
      <c r="G102" s="213">
        <f t="shared" si="5"/>
        <v>0</v>
      </c>
      <c r="H102" s="248">
        <f>E102</f>
        <v>0</v>
      </c>
      <c r="I102" s="5"/>
    </row>
    <row r="103" spans="1:17" ht="18" customHeight="1" thickBot="1">
      <c r="A103" s="12"/>
      <c r="B103" s="3" t="s">
        <v>29</v>
      </c>
      <c r="C103" s="13" t="s">
        <v>30</v>
      </c>
      <c r="D103" s="3" t="s">
        <v>11</v>
      </c>
      <c r="E103" s="3">
        <f>'Calcul Nuturi'!AD24</f>
        <v>0</v>
      </c>
      <c r="F103" s="286">
        <v>17</v>
      </c>
      <c r="G103" s="213">
        <f t="shared" si="5"/>
        <v>0</v>
      </c>
      <c r="H103" s="248">
        <f>E103</f>
        <v>0</v>
      </c>
      <c r="I103" s="5"/>
    </row>
    <row r="104" spans="1:17" ht="18" customHeight="1" thickBot="1">
      <c r="A104" s="35"/>
      <c r="B104" s="40" t="s">
        <v>377</v>
      </c>
      <c r="C104" s="37" t="s">
        <v>378</v>
      </c>
      <c r="D104" s="40" t="s">
        <v>11</v>
      </c>
      <c r="E104" s="40">
        <f>'Calcul Nuturi'!AF22</f>
        <v>0</v>
      </c>
      <c r="F104" s="288">
        <v>63</v>
      </c>
      <c r="G104" s="214">
        <f t="shared" si="5"/>
        <v>0</v>
      </c>
      <c r="H104" s="248">
        <f>E104</f>
        <v>0</v>
      </c>
      <c r="I104" s="5"/>
      <c r="K104" t="s">
        <v>184</v>
      </c>
    </row>
    <row r="105" spans="1:17" ht="18" customHeight="1" thickTop="1" thickBot="1">
      <c r="A105" s="522" t="s">
        <v>25</v>
      </c>
      <c r="B105" s="523"/>
      <c r="C105" s="523"/>
      <c r="D105" s="523"/>
      <c r="E105" s="523"/>
      <c r="F105" s="577"/>
      <c r="G105" s="217">
        <f>SUM(G94:G104)</f>
        <v>0</v>
      </c>
      <c r="H105" s="251">
        <f>G105</f>
        <v>0</v>
      </c>
    </row>
    <row r="106" spans="1:17" ht="18" customHeight="1" thickTop="1" thickBot="1">
      <c r="A106" s="537" t="s">
        <v>157</v>
      </c>
      <c r="B106" s="573"/>
      <c r="C106" s="573"/>
      <c r="D106" s="573"/>
      <c r="E106" s="304">
        <v>0.05</v>
      </c>
      <c r="F106" s="265"/>
      <c r="G106" s="98">
        <f>G105*(1-E106)</f>
        <v>0</v>
      </c>
      <c r="H106" s="251">
        <f>G106</f>
        <v>0</v>
      </c>
    </row>
    <row r="107" spans="1:17" ht="18" customHeight="1" thickTop="1" thickBot="1">
      <c r="A107" s="522" t="s">
        <v>143</v>
      </c>
      <c r="B107" s="523"/>
      <c r="C107" s="523"/>
      <c r="D107" s="523"/>
      <c r="E107" s="523"/>
      <c r="F107" s="523"/>
      <c r="G107" s="98">
        <f>G106*1.21</f>
        <v>0</v>
      </c>
      <c r="H107" s="251">
        <f>G107</f>
        <v>0</v>
      </c>
    </row>
    <row r="108" spans="1:17" ht="15" thickTop="1"/>
    <row r="111" spans="1:17" ht="18.75" customHeight="1"/>
    <row r="112" spans="1:17" ht="21">
      <c r="A112" s="520" t="s">
        <v>335</v>
      </c>
      <c r="B112" s="521"/>
      <c r="C112" s="521"/>
      <c r="D112" s="521"/>
      <c r="E112" s="521"/>
      <c r="F112" s="521"/>
      <c r="G112" s="521"/>
      <c r="H112" s="251">
        <f>SUM(H114:H118)</f>
        <v>0</v>
      </c>
    </row>
    <row r="113" spans="1:26" ht="18" customHeight="1" thickBot="1">
      <c r="A113" s="53"/>
      <c r="B113" s="53"/>
      <c r="C113" s="53"/>
      <c r="D113" s="53"/>
      <c r="E113" s="53"/>
      <c r="F113" s="53"/>
      <c r="G113" s="70"/>
      <c r="H113" s="251"/>
    </row>
    <row r="114" spans="1:26" ht="18" customHeight="1" thickTop="1">
      <c r="A114" s="6" t="s">
        <v>1</v>
      </c>
      <c r="B114" s="518"/>
      <c r="C114" s="518" t="s">
        <v>4</v>
      </c>
      <c r="D114" s="518" t="s">
        <v>5</v>
      </c>
      <c r="E114" s="518" t="s">
        <v>6</v>
      </c>
      <c r="F114" s="7" t="s">
        <v>7</v>
      </c>
      <c r="G114" s="8" t="s">
        <v>9</v>
      </c>
      <c r="H114" s="251">
        <f>G118</f>
        <v>0</v>
      </c>
    </row>
    <row r="115" spans="1:26" ht="18" customHeight="1" thickBot="1">
      <c r="A115" s="9" t="s">
        <v>2</v>
      </c>
      <c r="B115" s="519"/>
      <c r="C115" s="519"/>
      <c r="D115" s="519"/>
      <c r="E115" s="519"/>
      <c r="F115" s="10" t="s">
        <v>330</v>
      </c>
      <c r="G115" s="11" t="s">
        <v>330</v>
      </c>
      <c r="H115" s="251">
        <f>G118</f>
        <v>0</v>
      </c>
    </row>
    <row r="116" spans="1:26" ht="18" customHeight="1" thickTop="1" thickBot="1">
      <c r="A116" s="12"/>
      <c r="B116" s="3"/>
      <c r="C116" s="13" t="s">
        <v>329</v>
      </c>
      <c r="D116" s="3" t="s">
        <v>92</v>
      </c>
      <c r="E116" s="212">
        <f>'Calcul Nuturi'!A24</f>
        <v>0</v>
      </c>
      <c r="F116" s="150">
        <v>10</v>
      </c>
      <c r="G116" s="213">
        <f>E116*F116</f>
        <v>0</v>
      </c>
      <c r="H116" s="251">
        <f>E116</f>
        <v>0</v>
      </c>
    </row>
    <row r="117" spans="1:26" ht="18" customHeight="1" thickBot="1">
      <c r="A117" s="221"/>
      <c r="B117" s="222"/>
      <c r="C117" s="220" t="s">
        <v>332</v>
      </c>
      <c r="D117" s="222" t="s">
        <v>331</v>
      </c>
      <c r="E117" s="225">
        <f>IF(AND(E72=1, E76=1, E80=1), 3,
IF(OR(AND(E72=1, E76=1), AND(E72=1, E80=1), AND(E76=1, E80=1)), 2,
IF(OR(E72=1, E76=1, E80=1), 1, 0)))</f>
        <v>0</v>
      </c>
      <c r="F117" s="225">
        <v>170</v>
      </c>
      <c r="G117" s="226">
        <f>E117*F117</f>
        <v>0</v>
      </c>
      <c r="H117" s="251">
        <f>E117</f>
        <v>0</v>
      </c>
    </row>
    <row r="118" spans="1:26" ht="18" customHeight="1" thickTop="1" thickBot="1">
      <c r="A118" s="522" t="s">
        <v>334</v>
      </c>
      <c r="B118" s="523"/>
      <c r="C118" s="523"/>
      <c r="D118" s="523"/>
      <c r="E118" s="523"/>
      <c r="F118" s="523"/>
      <c r="G118" s="98">
        <f>SUM(G116:G117)</f>
        <v>0</v>
      </c>
      <c r="H118" s="251">
        <f>G118</f>
        <v>0</v>
      </c>
      <c r="J118" s="79"/>
      <c r="K118" s="80"/>
      <c r="L118" s="80"/>
      <c r="M118" s="78"/>
      <c r="N118" s="78"/>
      <c r="P118" s="49"/>
      <c r="Q118" s="92"/>
      <c r="R118" s="92"/>
      <c r="S118" s="92"/>
      <c r="T118" s="69"/>
      <c r="U118" s="69"/>
      <c r="V118" s="93"/>
      <c r="W118" s="88"/>
      <c r="X118" s="89"/>
      <c r="Y118" s="89"/>
      <c r="Z118" s="69"/>
    </row>
    <row r="119" spans="1:26" ht="18.75" customHeight="1" thickTop="1">
      <c r="A119" s="53"/>
      <c r="B119" s="53"/>
      <c r="C119" s="53"/>
      <c r="D119" s="53"/>
      <c r="E119" s="53"/>
      <c r="F119" s="53"/>
      <c r="G119" s="70"/>
      <c r="H119" s="251">
        <f>SUM(H114:H118)</f>
        <v>0</v>
      </c>
    </row>
    <row r="120" spans="1:26" ht="21">
      <c r="A120" s="520" t="s">
        <v>336</v>
      </c>
      <c r="B120" s="521"/>
      <c r="C120" s="521"/>
      <c r="D120" s="521"/>
      <c r="E120" s="521"/>
      <c r="F120" s="521"/>
      <c r="G120" s="521"/>
      <c r="H120" s="251">
        <f>SUM(H122:H126)</f>
        <v>0</v>
      </c>
    </row>
    <row r="121" spans="1:26" ht="18" customHeight="1" thickBot="1">
      <c r="A121" s="53"/>
      <c r="B121" s="53"/>
      <c r="C121" s="53"/>
      <c r="D121" s="53"/>
      <c r="E121" s="53"/>
      <c r="F121" s="53"/>
      <c r="G121" s="70"/>
      <c r="H121" s="251">
        <f>G126</f>
        <v>0</v>
      </c>
    </row>
    <row r="122" spans="1:26" ht="18" customHeight="1" thickTop="1">
      <c r="A122" s="6" t="s">
        <v>1</v>
      </c>
      <c r="B122" s="518"/>
      <c r="C122" s="518" t="s">
        <v>4</v>
      </c>
      <c r="D122" s="518" t="s">
        <v>5</v>
      </c>
      <c r="E122" s="518" t="s">
        <v>6</v>
      </c>
      <c r="F122" s="7" t="s">
        <v>7</v>
      </c>
      <c r="G122" s="8" t="s">
        <v>9</v>
      </c>
      <c r="H122" s="251">
        <f>G126</f>
        <v>0</v>
      </c>
    </row>
    <row r="123" spans="1:26" ht="18" customHeight="1" thickBot="1">
      <c r="A123" s="9" t="s">
        <v>2</v>
      </c>
      <c r="B123" s="519"/>
      <c r="C123" s="519"/>
      <c r="D123" s="519"/>
      <c r="E123" s="519"/>
      <c r="F123" s="10" t="s">
        <v>330</v>
      </c>
      <c r="G123" s="11" t="s">
        <v>330</v>
      </c>
      <c r="H123" s="251">
        <f>G126</f>
        <v>0</v>
      </c>
    </row>
    <row r="124" spans="1:26" ht="18" customHeight="1" thickTop="1" thickBot="1">
      <c r="A124" s="12"/>
      <c r="B124" s="3"/>
      <c r="C124" s="13" t="s">
        <v>329</v>
      </c>
      <c r="D124" s="3" t="s">
        <v>92</v>
      </c>
      <c r="E124" s="212">
        <f>'Calcul Nuturi'!A24</f>
        <v>0</v>
      </c>
      <c r="F124" s="150">
        <v>10</v>
      </c>
      <c r="G124" s="213">
        <f>E124*F124</f>
        <v>0</v>
      </c>
      <c r="H124" s="251">
        <f>E124</f>
        <v>0</v>
      </c>
    </row>
    <row r="125" spans="1:26" ht="18" customHeight="1" thickBot="1">
      <c r="A125" s="223"/>
      <c r="B125" s="224"/>
      <c r="C125" s="219" t="s">
        <v>333</v>
      </c>
      <c r="D125" s="227" t="s">
        <v>331</v>
      </c>
      <c r="E125" s="228">
        <f>IF(AND(E94=1, E98=1, E102=1), 3,
IF(OR(AND(E94=1, E98=1), AND(E94=1, E102=1), AND(E98=1, E102=1)), 2,
IF(OR(E94=1, E98=1, E102=1), 1, 0)))</f>
        <v>0</v>
      </c>
      <c r="F125" s="228">
        <v>120</v>
      </c>
      <c r="G125" s="229">
        <f>E125*F125</f>
        <v>0</v>
      </c>
      <c r="H125" s="251">
        <f>E125</f>
        <v>0</v>
      </c>
    </row>
    <row r="126" spans="1:26" ht="15.6" thickTop="1" thickBot="1">
      <c r="A126" s="522" t="s">
        <v>334</v>
      </c>
      <c r="B126" s="523"/>
      <c r="C126" s="523"/>
      <c r="D126" s="523"/>
      <c r="E126" s="523"/>
      <c r="F126" s="523"/>
      <c r="G126" s="98">
        <f>SUM(G124:G125)</f>
        <v>0</v>
      </c>
      <c r="H126" s="251">
        <f>G126</f>
        <v>0</v>
      </c>
    </row>
    <row r="127" spans="1:26" ht="15" thickTop="1"/>
    <row r="128" spans="1:26" ht="18.75" customHeight="1"/>
    <row r="129" spans="1:19" ht="16.5" customHeight="1">
      <c r="A129" s="544" t="s">
        <v>169</v>
      </c>
      <c r="B129" s="544"/>
      <c r="C129" s="544"/>
      <c r="D129" s="544"/>
      <c r="E129" s="544"/>
      <c r="F129" s="544"/>
      <c r="G129" s="544"/>
      <c r="H129" s="248" t="s">
        <v>83</v>
      </c>
    </row>
    <row r="130" spans="1:19" ht="27.75" customHeight="1">
      <c r="A130" s="559" t="s">
        <v>170</v>
      </c>
      <c r="B130" s="559"/>
      <c r="C130" s="559"/>
      <c r="D130" s="559"/>
      <c r="E130" s="559"/>
      <c r="F130" s="559"/>
      <c r="G130" s="559"/>
      <c r="H130" s="248" t="s">
        <v>83</v>
      </c>
    </row>
    <row r="131" spans="1:19" ht="27" customHeight="1">
      <c r="A131" s="559" t="s">
        <v>284</v>
      </c>
      <c r="B131" s="559"/>
      <c r="C131" s="559"/>
      <c r="D131" s="559"/>
      <c r="E131" s="559"/>
      <c r="F131" s="559"/>
      <c r="G131" s="559"/>
      <c r="H131" s="248" t="s">
        <v>83</v>
      </c>
      <c r="M131" t="s">
        <v>175</v>
      </c>
    </row>
    <row r="132" spans="1:19" ht="19.5" customHeight="1">
      <c r="A132" s="559" t="s">
        <v>411</v>
      </c>
      <c r="B132" s="559"/>
      <c r="C132" s="559"/>
      <c r="D132" s="559"/>
      <c r="E132" s="559"/>
      <c r="F132" s="559"/>
      <c r="G132" s="559"/>
      <c r="H132" s="248" t="s">
        <v>83</v>
      </c>
      <c r="I132" s="558"/>
      <c r="J132" s="558"/>
      <c r="K132" s="558"/>
      <c r="L132" s="83"/>
      <c r="M132" s="84"/>
      <c r="N132" s="84"/>
      <c r="O132" s="51"/>
      <c r="P132" s="49"/>
      <c r="Q132" s="50"/>
      <c r="R132" s="50"/>
      <c r="S132" s="50"/>
    </row>
    <row r="133" spans="1:19" ht="27.75" customHeight="1">
      <c r="A133" s="559" t="s">
        <v>328</v>
      </c>
      <c r="B133" s="559"/>
      <c r="C133" s="559"/>
      <c r="D133" s="559"/>
      <c r="E133" s="559"/>
      <c r="F133" s="559"/>
      <c r="G133" s="559"/>
    </row>
    <row r="134" spans="1:19" ht="25.5" customHeight="1">
      <c r="A134" s="559" t="s">
        <v>174</v>
      </c>
      <c r="B134" s="559"/>
      <c r="C134" s="559"/>
      <c r="D134" s="559"/>
      <c r="E134" s="559"/>
      <c r="F134" s="559"/>
      <c r="G134" s="559"/>
      <c r="H134" s="248" t="s">
        <v>83</v>
      </c>
    </row>
    <row r="135" spans="1:19">
      <c r="A135" s="16"/>
      <c r="B135" s="16"/>
      <c r="C135" s="16"/>
      <c r="D135" s="16"/>
      <c r="E135" s="16"/>
      <c r="F135" s="16"/>
      <c r="G135" s="16"/>
      <c r="H135" s="248" t="s">
        <v>83</v>
      </c>
    </row>
    <row r="136" spans="1:19">
      <c r="A136" s="560" t="s">
        <v>142</v>
      </c>
      <c r="B136" s="530"/>
      <c r="C136" s="530"/>
      <c r="G136" s="44"/>
      <c r="H136" s="248" t="s">
        <v>83</v>
      </c>
      <c r="K136" s="560"/>
      <c r="L136" s="560"/>
      <c r="M136" s="560"/>
      <c r="N136" s="560"/>
      <c r="O136" s="560"/>
      <c r="P136" s="560"/>
      <c r="Q136" s="560"/>
    </row>
    <row r="137" spans="1:19" ht="15" customHeight="1">
      <c r="A137" s="612" t="s">
        <v>141</v>
      </c>
      <c r="B137" s="612"/>
      <c r="C137" s="612"/>
      <c r="D137" s="45"/>
      <c r="G137" s="44"/>
      <c r="H137" s="248"/>
    </row>
    <row r="138" spans="1:19" ht="15" customHeight="1">
      <c r="A138" s="544" t="s">
        <v>56</v>
      </c>
      <c r="B138" s="544"/>
      <c r="C138" s="544"/>
      <c r="D138" s="544"/>
      <c r="E138" s="544"/>
      <c r="F138" s="544"/>
      <c r="G138" s="544"/>
      <c r="H138" s="248" t="s">
        <v>83</v>
      </c>
    </row>
    <row r="139" spans="1:19" ht="15" customHeight="1">
      <c r="A139" s="544" t="s">
        <v>93</v>
      </c>
      <c r="B139" s="544"/>
      <c r="C139" s="544"/>
      <c r="D139" s="544"/>
      <c r="E139" s="544"/>
      <c r="F139" s="544"/>
      <c r="G139" s="544"/>
      <c r="H139" s="248" t="s">
        <v>83</v>
      </c>
    </row>
    <row r="140" spans="1:19">
      <c r="A140" s="544" t="s">
        <v>57</v>
      </c>
      <c r="B140" s="544"/>
      <c r="C140" s="544"/>
      <c r="D140" s="544"/>
      <c r="E140" s="544"/>
      <c r="F140" s="544"/>
      <c r="G140" s="544"/>
      <c r="H140" s="248" t="s">
        <v>83</v>
      </c>
    </row>
    <row r="141" spans="1:19">
      <c r="A141" s="16"/>
      <c r="B141" s="15"/>
      <c r="C141" s="15"/>
      <c r="D141" s="15"/>
      <c r="E141" s="15"/>
      <c r="F141" s="15"/>
      <c r="G141" s="15"/>
      <c r="H141" s="248" t="s">
        <v>83</v>
      </c>
    </row>
    <row r="142" spans="1:19">
      <c r="A142" s="15"/>
      <c r="B142" s="21" t="s">
        <v>33</v>
      </c>
      <c r="C142" s="22"/>
      <c r="D142" s="22"/>
      <c r="E142" s="22"/>
      <c r="F142" s="22"/>
      <c r="G142" s="22"/>
      <c r="H142" s="248" t="s">
        <v>83</v>
      </c>
    </row>
    <row r="143" spans="1:19">
      <c r="A143" s="15"/>
      <c r="B143" s="23"/>
      <c r="C143" s="24"/>
      <c r="D143" s="24"/>
      <c r="E143" s="24"/>
      <c r="F143" s="24"/>
      <c r="G143" s="24"/>
      <c r="H143" s="248" t="s">
        <v>83</v>
      </c>
    </row>
    <row r="144" spans="1:19" ht="12" customHeight="1">
      <c r="A144" s="25"/>
      <c r="B144" s="26"/>
      <c r="C144" s="25"/>
      <c r="D144" s="25"/>
      <c r="E144" s="25"/>
      <c r="F144" s="25"/>
      <c r="G144" s="25"/>
      <c r="H144" s="248" t="s">
        <v>83</v>
      </c>
    </row>
    <row r="145" spans="1:8">
      <c r="A145" s="25"/>
      <c r="B145" s="26" t="s">
        <v>34</v>
      </c>
      <c r="C145" s="25"/>
      <c r="D145" s="25"/>
      <c r="E145" s="25"/>
      <c r="F145" s="25"/>
      <c r="G145" s="25"/>
      <c r="H145" s="248" t="s">
        <v>83</v>
      </c>
    </row>
  </sheetData>
  <autoFilter ref="H21:H126" xr:uid="{07F8C881-6626-4A91-98A6-9B9307741A7A}"/>
  <mergeCells count="70">
    <mergeCell ref="O62:O71"/>
    <mergeCell ref="A112:G112"/>
    <mergeCell ref="A132:G132"/>
    <mergeCell ref="B69:B70"/>
    <mergeCell ref="C69:C70"/>
    <mergeCell ref="D69:D70"/>
    <mergeCell ref="E69:E70"/>
    <mergeCell ref="A93:C93"/>
    <mergeCell ref="A67:G67"/>
    <mergeCell ref="A64:G64"/>
    <mergeCell ref="A66:G66"/>
    <mergeCell ref="A71:C71"/>
    <mergeCell ref="A75:C75"/>
    <mergeCell ref="A79:C79"/>
    <mergeCell ref="A83:F83"/>
    <mergeCell ref="A84:D84"/>
    <mergeCell ref="A22:F22"/>
    <mergeCell ref="A24:F24"/>
    <mergeCell ref="A58:D58"/>
    <mergeCell ref="A59:D59"/>
    <mergeCell ref="A60:D60"/>
    <mergeCell ref="A10:G10"/>
    <mergeCell ref="A19:G19"/>
    <mergeCell ref="B20:B21"/>
    <mergeCell ref="C20:C21"/>
    <mergeCell ref="D20:D21"/>
    <mergeCell ref="E20:E21"/>
    <mergeCell ref="A11:G11"/>
    <mergeCell ref="A12:C12"/>
    <mergeCell ref="A8:C8"/>
    <mergeCell ref="A2:C2"/>
    <mergeCell ref="A4:C4"/>
    <mergeCell ref="A5:C5"/>
    <mergeCell ref="A6:C6"/>
    <mergeCell ref="A7:C7"/>
    <mergeCell ref="A85:F85"/>
    <mergeCell ref="A88:G88"/>
    <mergeCell ref="A89:G89"/>
    <mergeCell ref="B91:B92"/>
    <mergeCell ref="C91:C92"/>
    <mergeCell ref="D91:D92"/>
    <mergeCell ref="E91:E92"/>
    <mergeCell ref="A97:C97"/>
    <mergeCell ref="A101:C101"/>
    <mergeCell ref="A105:F105"/>
    <mergeCell ref="A106:D106"/>
    <mergeCell ref="A107:F107"/>
    <mergeCell ref="B114:B115"/>
    <mergeCell ref="C114:C115"/>
    <mergeCell ref="D114:D115"/>
    <mergeCell ref="E114:E115"/>
    <mergeCell ref="A118:F118"/>
    <mergeCell ref="A120:G120"/>
    <mergeCell ref="B122:B123"/>
    <mergeCell ref="C122:C123"/>
    <mergeCell ref="D122:D123"/>
    <mergeCell ref="E122:E123"/>
    <mergeCell ref="A126:F126"/>
    <mergeCell ref="A129:G129"/>
    <mergeCell ref="A130:G130"/>
    <mergeCell ref="A131:G131"/>
    <mergeCell ref="A133:G133"/>
    <mergeCell ref="A138:G138"/>
    <mergeCell ref="A139:G139"/>
    <mergeCell ref="A140:G140"/>
    <mergeCell ref="I132:K132"/>
    <mergeCell ref="A134:G134"/>
    <mergeCell ref="A136:C136"/>
    <mergeCell ref="A137:C137"/>
    <mergeCell ref="K136:Q136"/>
  </mergeCells>
  <hyperlinks>
    <hyperlink ref="B145" r:id="rId1" xr:uid="{B4626871-3A0F-4588-BA1D-E4173C6246EA}"/>
    <hyperlink ref="A137" r:id="rId2" tooltip="Producator Magnum " xr:uid="{317F101C-0DBB-40E2-BB25-1CC313B021D8}"/>
  </hyperlinks>
  <pageMargins left="0.70866141732283505" right="0.23622047244094499" top="1.14173228346457" bottom="1.1599999999999999" header="0.196850393700787" footer="0.15748031496063"/>
  <pageSetup paperSize="9" scale="83" orientation="portrait" r:id="rId3"/>
  <headerFooter scaleWithDoc="0" alignWithMargins="0">
    <oddHeader>&amp;L&amp;G&amp;R&amp;G</oddHeader>
    <oddFooter xml:space="preserve">&amp;L
RO33404978
J40/8589/2014
RO56INGB0000999915150915
ING BANK NV&amp;CStr. Învingătorilor nr. 27, Sector 3, București
Tel :  (+4) 0314.361.836
Mobil:  (+4) 0724.204.888
             (+4) 0766.367.287&amp;REmail: 
comercial@magnumheating.ro
</oddFooter>
  </headerFooter>
  <colBreaks count="1" manualBreakCount="1">
    <brk id="7" max="1048575" man="1"/>
  </colBreaks>
  <drawing r:id="rId4"/>
  <legacyDrawingHF r:id="rId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9B5571-F971-41F3-81D4-F9E04EF32D43}">
  <sheetPr>
    <tabColor theme="8" tint="0.39997558519241921"/>
  </sheetPr>
  <dimension ref="A1:AG184"/>
  <sheetViews>
    <sheetView zoomScaleNormal="100" zoomScaleSheetLayoutView="100" workbookViewId="0">
      <selection activeCell="M26" sqref="M26"/>
    </sheetView>
  </sheetViews>
  <sheetFormatPr defaultRowHeight="14.4"/>
  <cols>
    <col min="1" max="1" width="21" customWidth="1"/>
    <col min="2" max="2" width="8.109375" customWidth="1"/>
    <col min="3" max="3" width="10.109375" customWidth="1"/>
    <col min="4" max="4" width="8.44140625" customWidth="1"/>
    <col min="5" max="5" width="8.6640625" customWidth="1"/>
    <col min="6" max="6" width="8.44140625" customWidth="1"/>
    <col min="7" max="7" width="8.88671875" customWidth="1"/>
    <col min="8" max="8" width="7.44140625" customWidth="1"/>
    <col min="9" max="9" width="11" customWidth="1"/>
    <col min="10" max="10" width="9" customWidth="1"/>
    <col min="11" max="11" width="10.6640625" customWidth="1"/>
    <col min="12" max="12" width="19.109375" customWidth="1"/>
    <col min="13" max="13" width="8" customWidth="1"/>
    <col min="14" max="14" width="9.44140625" customWidth="1"/>
    <col min="15" max="15" width="8.33203125" customWidth="1"/>
    <col min="16" max="16" width="8.6640625" customWidth="1"/>
    <col min="17" max="17" width="5.88671875" hidden="1" customWidth="1"/>
    <col min="18" max="18" width="3.6640625" hidden="1" customWidth="1"/>
    <col min="19" max="19" width="7.44140625" customWidth="1"/>
    <col min="20" max="20" width="8.88671875" customWidth="1"/>
    <col min="21" max="21" width="9.33203125" customWidth="1"/>
    <col min="22" max="22" width="10.88671875" customWidth="1"/>
    <col min="23" max="23" width="12.88671875" customWidth="1"/>
    <col min="28" max="29" width="0" hidden="1" customWidth="1"/>
    <col min="33" max="33" width="10.5546875" customWidth="1"/>
  </cols>
  <sheetData>
    <row r="1" spans="1:33" ht="22.5" customHeight="1" thickTop="1" thickBot="1">
      <c r="A1" s="615" t="s">
        <v>264</v>
      </c>
      <c r="B1" s="616"/>
      <c r="C1" s="616"/>
      <c r="D1" s="616"/>
      <c r="E1" s="616"/>
      <c r="F1" s="177"/>
      <c r="G1" s="177"/>
      <c r="H1" s="177"/>
      <c r="I1" s="177"/>
      <c r="J1" s="177"/>
      <c r="K1" s="54"/>
      <c r="L1" s="615" t="s">
        <v>265</v>
      </c>
      <c r="M1" s="616"/>
      <c r="N1" s="616"/>
      <c r="O1" s="616"/>
      <c r="P1" s="616"/>
      <c r="Q1" s="177"/>
      <c r="R1" s="177"/>
      <c r="S1" s="177"/>
      <c r="T1" s="177"/>
      <c r="U1" s="177"/>
      <c r="W1" s="579" t="s">
        <v>337</v>
      </c>
      <c r="X1" s="630"/>
      <c r="Y1" s="630"/>
      <c r="Z1" s="630"/>
      <c r="AA1" s="630"/>
      <c r="AB1" s="177"/>
      <c r="AC1" s="177"/>
      <c r="AD1" s="177"/>
      <c r="AE1" s="177"/>
      <c r="AF1" s="177"/>
    </row>
    <row r="2" spans="1:33" ht="19.5" customHeight="1" thickTop="1" thickBot="1">
      <c r="A2" s="581" t="s">
        <v>397</v>
      </c>
      <c r="B2" s="582"/>
      <c r="C2" s="582"/>
      <c r="D2" s="582"/>
      <c r="E2" s="582"/>
      <c r="F2" s="620"/>
      <c r="G2" s="621"/>
      <c r="H2" s="621"/>
      <c r="I2" s="621"/>
      <c r="J2" s="621"/>
      <c r="K2" s="151"/>
      <c r="L2" s="581" t="s">
        <v>397</v>
      </c>
      <c r="M2" s="582"/>
      <c r="N2" s="582"/>
      <c r="O2" s="582"/>
      <c r="P2" s="582"/>
      <c r="Q2" s="620"/>
      <c r="R2" s="621"/>
      <c r="S2" s="621"/>
      <c r="T2" s="621"/>
      <c r="U2" s="621"/>
      <c r="W2" s="581" t="s">
        <v>397</v>
      </c>
      <c r="X2" s="582"/>
      <c r="Y2" s="582"/>
      <c r="Z2" s="582"/>
      <c r="AA2" s="582"/>
      <c r="AB2" s="620"/>
      <c r="AC2" s="621"/>
      <c r="AD2" s="621"/>
      <c r="AE2" s="621"/>
      <c r="AF2" s="621"/>
    </row>
    <row r="3" spans="1:33" ht="38.25" customHeight="1" thickTop="1" thickBot="1">
      <c r="A3" s="55"/>
      <c r="B3" s="55" t="s">
        <v>144</v>
      </c>
      <c r="C3" s="55" t="s">
        <v>158</v>
      </c>
      <c r="D3" s="55" t="s">
        <v>226</v>
      </c>
      <c r="E3" s="55" t="s">
        <v>278</v>
      </c>
      <c r="F3" s="178"/>
      <c r="G3" s="178"/>
      <c r="H3" s="178"/>
      <c r="I3" s="152" t="s">
        <v>222</v>
      </c>
      <c r="J3" s="178"/>
      <c r="K3" s="56"/>
      <c r="L3" s="55"/>
      <c r="M3" s="55" t="s">
        <v>144</v>
      </c>
      <c r="N3" s="55" t="s">
        <v>158</v>
      </c>
      <c r="O3" s="55" t="s">
        <v>227</v>
      </c>
      <c r="P3" s="55" t="s">
        <v>278</v>
      </c>
      <c r="Q3" s="178"/>
      <c r="R3" s="178"/>
      <c r="S3" s="178"/>
      <c r="T3" s="178"/>
      <c r="U3" s="178"/>
      <c r="V3" s="56"/>
      <c r="W3" s="55"/>
      <c r="X3" s="55" t="s">
        <v>144</v>
      </c>
      <c r="Y3" s="55" t="s">
        <v>158</v>
      </c>
      <c r="Z3" s="55" t="s">
        <v>227</v>
      </c>
      <c r="AA3" s="55" t="s">
        <v>278</v>
      </c>
      <c r="AB3" s="178"/>
      <c r="AC3" s="178"/>
      <c r="AD3" s="178"/>
      <c r="AE3" s="178"/>
      <c r="AF3" s="178"/>
      <c r="AG3" s="56"/>
    </row>
    <row r="4" spans="1:33" ht="15.9" customHeight="1" thickTop="1" thickBot="1">
      <c r="A4" s="57" t="s">
        <v>288</v>
      </c>
      <c r="B4" s="58"/>
      <c r="C4" s="141">
        <f>B4*9.5</f>
        <v>0</v>
      </c>
      <c r="D4" s="142">
        <f>(ROUNDUP(C4/104,0))</f>
        <v>0</v>
      </c>
      <c r="E4" s="55" t="str">
        <f>IF(AND(ISNUMBER(SEARCH("living",A4)),D4&gt;0),1,IF(AND(ISNUMBER(SEARCH("dining",A4)),D4&gt;0),1,IF(AND(ISNUMBER(SEARCH("bucatarie",A4)),D4&gt;0),1,IF(AND(ISNUMBER(SEARCH("dormitor",A4)),D4&gt;0),1,IF(AND(ISNUMBER(SEARCH("birou",A4)),D4&gt;0),1,IF(AND(ISNUMBER(SEARCH("baie",A4)),D4&gt;0),1,IF(AND(ISNUMBER(SEARCH("liv.+dining",A4)),D4&gt;0),1,IF(AND(ISNUMBER(SEARCH("camera",A4)),D4&gt;0),1,""))))))))</f>
        <v/>
      </c>
      <c r="F4" s="179"/>
      <c r="G4" s="180"/>
      <c r="H4" s="181"/>
      <c r="I4" s="55" t="s">
        <v>146</v>
      </c>
      <c r="J4" s="178"/>
      <c r="K4" s="56"/>
      <c r="L4" s="57" t="s">
        <v>146</v>
      </c>
      <c r="M4" s="58"/>
      <c r="N4" s="141">
        <f>M4*9.5</f>
        <v>0</v>
      </c>
      <c r="O4" s="142">
        <f>(ROUNDUP(N4/104,0))</f>
        <v>0</v>
      </c>
      <c r="P4" s="55" t="str">
        <f t="shared" ref="P4:P19" si="0">IF(AND(ISNUMBER(SEARCH("living",L4)),O4&gt;0),1,IF(AND(ISNUMBER(SEARCH("dining",L4)),O4&gt;0),1,IF(AND(ISNUMBER(SEARCH("bucatarie",L4)),O4&gt;0),1,IF(AND(ISNUMBER(SEARCH("dormitor",L4)),O4&gt;0),1,IF(AND(ISNUMBER(SEARCH("birou",L4)),O4&gt;0),1,IF(AND(ISNUMBER(SEARCH("baie",L4)),O4&gt;0),1,IF(AND(ISNUMBER(SEARCH("liv.+dining",L4)),O4&gt;0),1,IF(AND(ISNUMBER(SEARCH("camera",L4)),O4&gt;0),1,""))))))))</f>
        <v/>
      </c>
      <c r="Q4" s="179"/>
      <c r="R4" s="180"/>
      <c r="S4" s="181"/>
      <c r="T4" s="182"/>
      <c r="U4" s="178"/>
      <c r="V4" s="56"/>
      <c r="W4" s="57" t="s">
        <v>146</v>
      </c>
      <c r="X4" s="58"/>
      <c r="Y4" s="141">
        <f>X4*9.5</f>
        <v>0</v>
      </c>
      <c r="Z4" s="142">
        <f>(ROUNDUP(Y4/104,0))</f>
        <v>0</v>
      </c>
      <c r="AA4" s="55" t="str">
        <f t="shared" ref="AA4:AA19" si="1">IF(AND(ISNUMBER(SEARCH("living",W4)),Z4&gt;0),1,IF(AND(ISNUMBER(SEARCH("dining",W4)),Z4&gt;0),1,IF(AND(ISNUMBER(SEARCH("bucatarie",W4)),Z4&gt;0),1,IF(AND(ISNUMBER(SEARCH("dormitor",W4)),Z4&gt;0),1,IF(AND(ISNUMBER(SEARCH("birou",W4)),Z4&gt;0),1,IF(AND(ISNUMBER(SEARCH("baie",W4)),Z4&gt;0),1,IF(AND(ISNUMBER(SEARCH("liv.+dining",W4)),Z4&gt;0),1,IF(AND(ISNUMBER(SEARCH("camera",W4)),Z4&gt;0),1,""))))))))</f>
        <v/>
      </c>
      <c r="AB4" s="179"/>
      <c r="AC4" s="180"/>
      <c r="AD4" s="181"/>
      <c r="AE4" s="182"/>
      <c r="AF4" s="178"/>
      <c r="AG4" s="56"/>
    </row>
    <row r="5" spans="1:33" ht="15.9" customHeight="1" thickTop="1" thickBot="1">
      <c r="A5" s="57" t="s">
        <v>261</v>
      </c>
      <c r="B5" s="58"/>
      <c r="C5" s="141">
        <f t="shared" ref="C5:C19" si="2">B5*9.5</f>
        <v>0</v>
      </c>
      <c r="D5" s="142">
        <f t="shared" ref="D5:D19" si="3">(ROUNDUP(C5/104,0))</f>
        <v>0</v>
      </c>
      <c r="E5" s="55" t="str">
        <f t="shared" ref="E5:E19" si="4">IF(AND(ISNUMBER(SEARCH("living",A5)),D5&gt;0),1,IF(AND(ISNUMBER(SEARCH("dining",A5)),D5&gt;0),1,IF(AND(ISNUMBER(SEARCH("bucatarie",A5)),D5&gt;0),1,IF(AND(ISNUMBER(SEARCH("dormitor",A5)),D5&gt;0),1,IF(AND(ISNUMBER(SEARCH("birou",A5)),D5&gt;0),1,IF(AND(ISNUMBER(SEARCH("baie",A5)),D5&gt;0),1,IF(AND(ISNUMBER(SEARCH("liv.+dining",A5)),D5&gt;0),1,IF(AND(ISNUMBER(SEARCH("camera",A5)),D5&gt;0),1,""))))))))</f>
        <v/>
      </c>
      <c r="F5" s="179"/>
      <c r="G5" s="180"/>
      <c r="H5" s="181"/>
      <c r="I5" s="55" t="s">
        <v>147</v>
      </c>
      <c r="J5" s="178"/>
      <c r="K5" s="56"/>
      <c r="L5" s="57" t="s">
        <v>147</v>
      </c>
      <c r="M5" s="58"/>
      <c r="N5" s="141">
        <f t="shared" ref="N5:N19" si="5">M5*9.5</f>
        <v>0</v>
      </c>
      <c r="O5" s="142">
        <f t="shared" ref="O5:O19" si="6">(ROUNDUP(N5/104,0))</f>
        <v>0</v>
      </c>
      <c r="P5" s="55" t="str">
        <f t="shared" si="0"/>
        <v/>
      </c>
      <c r="Q5" s="179"/>
      <c r="R5" s="180"/>
      <c r="S5" s="181"/>
      <c r="T5" s="182"/>
      <c r="U5" s="178"/>
      <c r="V5" s="56"/>
      <c r="W5" s="57" t="s">
        <v>146</v>
      </c>
      <c r="X5" s="58"/>
      <c r="Y5" s="141">
        <f t="shared" ref="Y5:Y19" si="7">X5*9.5</f>
        <v>0</v>
      </c>
      <c r="Z5" s="142">
        <f t="shared" ref="Z5:Z19" si="8">(ROUNDUP(Y5/104,0))</f>
        <v>0</v>
      </c>
      <c r="AA5" s="55" t="str">
        <f t="shared" si="1"/>
        <v/>
      </c>
      <c r="AB5" s="179"/>
      <c r="AC5" s="180"/>
      <c r="AD5" s="181"/>
      <c r="AE5" s="182"/>
      <c r="AF5" s="178"/>
      <c r="AG5" s="56"/>
    </row>
    <row r="6" spans="1:33" ht="15.9" customHeight="1" thickTop="1" thickBot="1">
      <c r="A6" s="57" t="s">
        <v>149</v>
      </c>
      <c r="B6" s="58"/>
      <c r="C6" s="141">
        <f t="shared" si="2"/>
        <v>0</v>
      </c>
      <c r="D6" s="142">
        <f t="shared" si="3"/>
        <v>0</v>
      </c>
      <c r="E6" s="55" t="str">
        <f t="shared" si="4"/>
        <v/>
      </c>
      <c r="F6" s="179"/>
      <c r="G6" s="180"/>
      <c r="H6" s="181"/>
      <c r="I6" s="55" t="s">
        <v>148</v>
      </c>
      <c r="J6" s="178"/>
      <c r="K6" s="56"/>
      <c r="L6" s="57" t="s">
        <v>149</v>
      </c>
      <c r="M6" s="58"/>
      <c r="N6" s="141">
        <f t="shared" si="5"/>
        <v>0</v>
      </c>
      <c r="O6" s="142">
        <f t="shared" si="6"/>
        <v>0</v>
      </c>
      <c r="P6" s="55" t="str">
        <f t="shared" si="0"/>
        <v/>
      </c>
      <c r="Q6" s="179"/>
      <c r="R6" s="180"/>
      <c r="S6" s="181"/>
      <c r="T6" s="182"/>
      <c r="U6" s="178"/>
      <c r="V6" s="56"/>
      <c r="W6" s="57" t="s">
        <v>149</v>
      </c>
      <c r="X6" s="58"/>
      <c r="Y6" s="141">
        <f t="shared" si="7"/>
        <v>0</v>
      </c>
      <c r="Z6" s="142">
        <f t="shared" si="8"/>
        <v>0</v>
      </c>
      <c r="AA6" s="55" t="str">
        <f t="shared" si="1"/>
        <v/>
      </c>
      <c r="AB6" s="179"/>
      <c r="AC6" s="180"/>
      <c r="AD6" s="181"/>
      <c r="AE6" s="182"/>
      <c r="AF6" s="178"/>
      <c r="AG6" s="56"/>
    </row>
    <row r="7" spans="1:33" ht="15.9" customHeight="1" thickTop="1" thickBot="1">
      <c r="A7" s="57" t="s">
        <v>277</v>
      </c>
      <c r="B7" s="58"/>
      <c r="C7" s="141">
        <f t="shared" si="2"/>
        <v>0</v>
      </c>
      <c r="D7" s="142">
        <f t="shared" si="3"/>
        <v>0</v>
      </c>
      <c r="E7" s="55" t="str">
        <f t="shared" si="4"/>
        <v/>
      </c>
      <c r="F7" s="179"/>
      <c r="G7" s="180"/>
      <c r="H7" s="181"/>
      <c r="I7" s="55" t="s">
        <v>149</v>
      </c>
      <c r="J7" s="178"/>
      <c r="K7" s="56"/>
      <c r="L7" s="57" t="s">
        <v>148</v>
      </c>
      <c r="M7" s="58"/>
      <c r="N7" s="141">
        <f t="shared" si="5"/>
        <v>0</v>
      </c>
      <c r="O7" s="142">
        <f t="shared" si="6"/>
        <v>0</v>
      </c>
      <c r="P7" s="55" t="str">
        <f t="shared" si="0"/>
        <v/>
      </c>
      <c r="Q7" s="179"/>
      <c r="R7" s="180"/>
      <c r="S7" s="181"/>
      <c r="T7" s="182"/>
      <c r="U7" s="178"/>
      <c r="V7" s="56"/>
      <c r="W7" s="57" t="s">
        <v>148</v>
      </c>
      <c r="X7" s="58"/>
      <c r="Y7" s="141">
        <f t="shared" si="7"/>
        <v>0</v>
      </c>
      <c r="Z7" s="142">
        <f t="shared" si="8"/>
        <v>0</v>
      </c>
      <c r="AA7" s="55" t="str">
        <f t="shared" si="1"/>
        <v/>
      </c>
      <c r="AB7" s="179"/>
      <c r="AC7" s="180"/>
      <c r="AD7" s="181"/>
      <c r="AE7" s="182"/>
      <c r="AF7" s="178"/>
      <c r="AG7" s="56"/>
    </row>
    <row r="8" spans="1:33" ht="15.9" customHeight="1" thickTop="1" thickBot="1">
      <c r="A8" s="57" t="s">
        <v>146</v>
      </c>
      <c r="B8" s="58"/>
      <c r="C8" s="141">
        <f t="shared" si="2"/>
        <v>0</v>
      </c>
      <c r="D8" s="142">
        <f t="shared" si="3"/>
        <v>0</v>
      </c>
      <c r="E8" s="55" t="str">
        <f t="shared" si="4"/>
        <v/>
      </c>
      <c r="F8" s="179"/>
      <c r="G8" s="180"/>
      <c r="H8" s="181"/>
      <c r="I8" s="55" t="s">
        <v>154</v>
      </c>
      <c r="J8" s="178"/>
      <c r="K8" s="56"/>
      <c r="L8" s="57" t="s">
        <v>258</v>
      </c>
      <c r="M8" s="58"/>
      <c r="N8" s="141">
        <f t="shared" si="5"/>
        <v>0</v>
      </c>
      <c r="O8" s="142">
        <f t="shared" si="6"/>
        <v>0</v>
      </c>
      <c r="P8" s="55" t="str">
        <f t="shared" si="0"/>
        <v/>
      </c>
      <c r="Q8" s="179"/>
      <c r="R8" s="180"/>
      <c r="S8" s="181"/>
      <c r="T8" s="182"/>
      <c r="U8" s="178"/>
      <c r="V8" s="56"/>
      <c r="W8" s="57" t="s">
        <v>258</v>
      </c>
      <c r="X8" s="58"/>
      <c r="Y8" s="141">
        <f t="shared" si="7"/>
        <v>0</v>
      </c>
      <c r="Z8" s="142">
        <f t="shared" si="8"/>
        <v>0</v>
      </c>
      <c r="AA8" s="55" t="str">
        <f t="shared" si="1"/>
        <v/>
      </c>
      <c r="AB8" s="179"/>
      <c r="AC8" s="180"/>
      <c r="AD8" s="181"/>
      <c r="AE8" s="182"/>
      <c r="AF8" s="178"/>
      <c r="AG8" s="56"/>
    </row>
    <row r="9" spans="1:33" ht="15.9" customHeight="1" thickTop="1" thickBot="1">
      <c r="A9" s="57" t="s">
        <v>150</v>
      </c>
      <c r="B9" s="58"/>
      <c r="C9" s="141">
        <f t="shared" si="2"/>
        <v>0</v>
      </c>
      <c r="D9" s="142">
        <f t="shared" si="3"/>
        <v>0</v>
      </c>
      <c r="E9" s="55" t="str">
        <f t="shared" si="4"/>
        <v/>
      </c>
      <c r="F9" s="179"/>
      <c r="G9" s="180"/>
      <c r="H9" s="181"/>
      <c r="I9" s="55" t="s">
        <v>155</v>
      </c>
      <c r="J9" s="178"/>
      <c r="K9" s="56"/>
      <c r="L9" s="57" t="s">
        <v>266</v>
      </c>
      <c r="M9" s="58"/>
      <c r="N9" s="141">
        <f t="shared" si="5"/>
        <v>0</v>
      </c>
      <c r="O9" s="142">
        <f t="shared" si="6"/>
        <v>0</v>
      </c>
      <c r="P9" s="55" t="str">
        <f t="shared" si="0"/>
        <v/>
      </c>
      <c r="Q9" s="179"/>
      <c r="R9" s="180"/>
      <c r="S9" s="181"/>
      <c r="T9" s="182"/>
      <c r="U9" s="178"/>
      <c r="V9" s="56"/>
      <c r="W9" s="57" t="s">
        <v>266</v>
      </c>
      <c r="X9" s="58"/>
      <c r="Y9" s="141">
        <f t="shared" si="7"/>
        <v>0</v>
      </c>
      <c r="Z9" s="142">
        <f t="shared" si="8"/>
        <v>0</v>
      </c>
      <c r="AA9" s="55" t="str">
        <f t="shared" si="1"/>
        <v/>
      </c>
      <c r="AB9" s="179"/>
      <c r="AC9" s="180"/>
      <c r="AD9" s="181"/>
      <c r="AE9" s="182"/>
      <c r="AF9" s="178"/>
      <c r="AG9" s="56"/>
    </row>
    <row r="10" spans="1:33" ht="15.9" customHeight="1" thickTop="1" thickBot="1">
      <c r="A10" s="60" t="s">
        <v>262</v>
      </c>
      <c r="B10" s="58"/>
      <c r="C10" s="141">
        <f t="shared" si="2"/>
        <v>0</v>
      </c>
      <c r="D10" s="142">
        <f t="shared" si="3"/>
        <v>0</v>
      </c>
      <c r="E10" s="55" t="str">
        <f t="shared" si="4"/>
        <v/>
      </c>
      <c r="F10" s="179"/>
      <c r="G10" s="180"/>
      <c r="H10" s="181"/>
      <c r="I10" s="55" t="s">
        <v>152</v>
      </c>
      <c r="J10" s="178"/>
      <c r="K10" s="56"/>
      <c r="L10" s="60" t="s">
        <v>259</v>
      </c>
      <c r="M10" s="58"/>
      <c r="N10" s="141">
        <f t="shared" si="5"/>
        <v>0</v>
      </c>
      <c r="O10" s="142">
        <f t="shared" si="6"/>
        <v>0</v>
      </c>
      <c r="P10" s="55" t="str">
        <f t="shared" si="0"/>
        <v/>
      </c>
      <c r="Q10" s="179"/>
      <c r="R10" s="180"/>
      <c r="S10" s="181"/>
      <c r="T10" s="182"/>
      <c r="U10" s="178"/>
      <c r="V10" s="56"/>
      <c r="W10" s="60" t="s">
        <v>259</v>
      </c>
      <c r="X10" s="58"/>
      <c r="Y10" s="141">
        <f t="shared" si="7"/>
        <v>0</v>
      </c>
      <c r="Z10" s="142">
        <f t="shared" si="8"/>
        <v>0</v>
      </c>
      <c r="AA10" s="55" t="str">
        <f t="shared" si="1"/>
        <v/>
      </c>
      <c r="AB10" s="179"/>
      <c r="AC10" s="180"/>
      <c r="AD10" s="181"/>
      <c r="AE10" s="182"/>
      <c r="AF10" s="178"/>
      <c r="AG10" s="56"/>
    </row>
    <row r="11" spans="1:33" ht="15.9" customHeight="1" thickTop="1" thickBot="1">
      <c r="A11" s="60" t="s">
        <v>152</v>
      </c>
      <c r="B11" s="58"/>
      <c r="C11" s="141">
        <f t="shared" si="2"/>
        <v>0</v>
      </c>
      <c r="D11" s="142">
        <f t="shared" si="3"/>
        <v>0</v>
      </c>
      <c r="E11" s="55" t="str">
        <f t="shared" si="4"/>
        <v/>
      </c>
      <c r="F11" s="179"/>
      <c r="G11" s="180"/>
      <c r="H11" s="181"/>
      <c r="I11" s="55" t="s">
        <v>221</v>
      </c>
      <c r="J11" s="178"/>
      <c r="K11" s="56"/>
      <c r="L11" s="60" t="s">
        <v>263</v>
      </c>
      <c r="M11" s="58"/>
      <c r="N11" s="141">
        <f t="shared" si="5"/>
        <v>0</v>
      </c>
      <c r="O11" s="142">
        <f t="shared" si="6"/>
        <v>0</v>
      </c>
      <c r="P11" s="55" t="str">
        <f t="shared" si="0"/>
        <v/>
      </c>
      <c r="Q11" s="179"/>
      <c r="R11" s="180"/>
      <c r="S11" s="181"/>
      <c r="T11" s="182"/>
      <c r="U11" s="178"/>
      <c r="V11" s="56"/>
      <c r="W11" s="60" t="s">
        <v>263</v>
      </c>
      <c r="X11" s="58"/>
      <c r="Y11" s="141">
        <f t="shared" si="7"/>
        <v>0</v>
      </c>
      <c r="Z11" s="142">
        <f t="shared" si="8"/>
        <v>0</v>
      </c>
      <c r="AA11" s="55" t="str">
        <f t="shared" si="1"/>
        <v/>
      </c>
      <c r="AB11" s="179"/>
      <c r="AC11" s="180"/>
      <c r="AD11" s="181"/>
      <c r="AE11" s="182"/>
      <c r="AF11" s="178"/>
      <c r="AG11" s="56"/>
    </row>
    <row r="12" spans="1:33" ht="15.9" customHeight="1" thickTop="1" thickBot="1">
      <c r="A12" s="60" t="s">
        <v>289</v>
      </c>
      <c r="B12" s="58"/>
      <c r="C12" s="141">
        <f t="shared" si="2"/>
        <v>0</v>
      </c>
      <c r="D12" s="142">
        <f t="shared" si="3"/>
        <v>0</v>
      </c>
      <c r="E12" s="55" t="str">
        <f t="shared" si="4"/>
        <v/>
      </c>
      <c r="F12" s="179"/>
      <c r="G12" s="180"/>
      <c r="H12" s="181"/>
      <c r="I12" s="182"/>
      <c r="J12" s="178"/>
      <c r="K12" s="56"/>
      <c r="L12" s="60" t="s">
        <v>388</v>
      </c>
      <c r="M12" s="58"/>
      <c r="N12" s="141">
        <f t="shared" si="5"/>
        <v>0</v>
      </c>
      <c r="O12" s="142">
        <f t="shared" si="6"/>
        <v>0</v>
      </c>
      <c r="P12" s="55" t="str">
        <f t="shared" si="0"/>
        <v/>
      </c>
      <c r="Q12" s="179"/>
      <c r="R12" s="180"/>
      <c r="S12" s="181"/>
      <c r="T12" s="182"/>
      <c r="U12" s="178"/>
      <c r="V12" s="56"/>
      <c r="W12" s="60" t="s">
        <v>260</v>
      </c>
      <c r="X12" s="58"/>
      <c r="Y12" s="141">
        <f t="shared" si="7"/>
        <v>0</v>
      </c>
      <c r="Z12" s="142">
        <f t="shared" si="8"/>
        <v>0</v>
      </c>
      <c r="AA12" s="55" t="str">
        <f t="shared" si="1"/>
        <v/>
      </c>
      <c r="AB12" s="179"/>
      <c r="AC12" s="180"/>
      <c r="AD12" s="181"/>
      <c r="AE12" s="182"/>
      <c r="AF12" s="178"/>
      <c r="AG12" s="56"/>
    </row>
    <row r="13" spans="1:33" ht="15.9" customHeight="1" thickTop="1" thickBot="1">
      <c r="A13" s="60" t="s">
        <v>152</v>
      </c>
      <c r="B13" s="58"/>
      <c r="C13" s="141">
        <f t="shared" si="2"/>
        <v>0</v>
      </c>
      <c r="D13" s="142">
        <f t="shared" si="3"/>
        <v>0</v>
      </c>
      <c r="E13" s="55" t="str">
        <f t="shared" si="4"/>
        <v/>
      </c>
      <c r="F13" s="179"/>
      <c r="G13" s="180"/>
      <c r="H13" s="181"/>
      <c r="I13" s="182"/>
      <c r="J13" s="178"/>
      <c r="K13" s="56"/>
      <c r="L13" s="60" t="s">
        <v>152</v>
      </c>
      <c r="M13" s="58"/>
      <c r="N13" s="141">
        <f t="shared" si="5"/>
        <v>0</v>
      </c>
      <c r="O13" s="142">
        <f t="shared" si="6"/>
        <v>0</v>
      </c>
      <c r="P13" s="55" t="str">
        <f t="shared" si="0"/>
        <v/>
      </c>
      <c r="Q13" s="179"/>
      <c r="R13" s="180"/>
      <c r="S13" s="181"/>
      <c r="T13" s="182"/>
      <c r="U13" s="178"/>
      <c r="V13" s="56"/>
      <c r="W13" s="60" t="s">
        <v>152</v>
      </c>
      <c r="X13" s="58"/>
      <c r="Y13" s="141">
        <f t="shared" si="7"/>
        <v>0</v>
      </c>
      <c r="Z13" s="142">
        <f t="shared" si="8"/>
        <v>0</v>
      </c>
      <c r="AA13" s="55" t="str">
        <f t="shared" si="1"/>
        <v/>
      </c>
      <c r="AB13" s="179"/>
      <c r="AC13" s="180"/>
      <c r="AD13" s="181"/>
      <c r="AE13" s="182"/>
      <c r="AF13" s="178"/>
      <c r="AG13" s="56"/>
    </row>
    <row r="14" spans="1:33" ht="15.9" customHeight="1" thickTop="1" thickBot="1">
      <c r="A14" s="60" t="s">
        <v>155</v>
      </c>
      <c r="B14" s="58"/>
      <c r="C14" s="141">
        <f t="shared" si="2"/>
        <v>0</v>
      </c>
      <c r="D14" s="142">
        <f t="shared" si="3"/>
        <v>0</v>
      </c>
      <c r="E14" s="55" t="str">
        <f t="shared" si="4"/>
        <v/>
      </c>
      <c r="F14" s="179"/>
      <c r="G14" s="180"/>
      <c r="H14" s="181"/>
      <c r="I14" s="182"/>
      <c r="J14" s="178"/>
      <c r="K14" s="56"/>
      <c r="L14" s="60" t="s">
        <v>152</v>
      </c>
      <c r="M14" s="58"/>
      <c r="N14" s="141">
        <f t="shared" si="5"/>
        <v>0</v>
      </c>
      <c r="O14" s="142">
        <f t="shared" si="6"/>
        <v>0</v>
      </c>
      <c r="P14" s="55" t="str">
        <f t="shared" si="0"/>
        <v/>
      </c>
      <c r="Q14" s="179"/>
      <c r="R14" s="180"/>
      <c r="S14" s="181"/>
      <c r="T14" s="182"/>
      <c r="U14" s="178"/>
      <c r="V14" s="56"/>
      <c r="W14" s="60" t="s">
        <v>152</v>
      </c>
      <c r="X14" s="58"/>
      <c r="Y14" s="141">
        <f t="shared" si="7"/>
        <v>0</v>
      </c>
      <c r="Z14" s="142">
        <f t="shared" si="8"/>
        <v>0</v>
      </c>
      <c r="AA14" s="55" t="str">
        <f t="shared" si="1"/>
        <v/>
      </c>
      <c r="AB14" s="179"/>
      <c r="AC14" s="180"/>
      <c r="AD14" s="181"/>
      <c r="AE14" s="182"/>
      <c r="AF14" s="178"/>
      <c r="AG14" s="56"/>
    </row>
    <row r="15" spans="1:33" ht="15.9" customHeight="1" thickTop="1" thickBot="1">
      <c r="A15" s="57" t="s">
        <v>155</v>
      </c>
      <c r="B15" s="58"/>
      <c r="C15" s="141">
        <f t="shared" si="2"/>
        <v>0</v>
      </c>
      <c r="D15" s="142">
        <f t="shared" si="3"/>
        <v>0</v>
      </c>
      <c r="E15" s="55" t="str">
        <f t="shared" si="4"/>
        <v/>
      </c>
      <c r="F15" s="179"/>
      <c r="G15" s="180"/>
      <c r="H15" s="181"/>
      <c r="I15" s="182"/>
      <c r="J15" s="178"/>
      <c r="K15" s="56"/>
      <c r="L15" s="57" t="s">
        <v>155</v>
      </c>
      <c r="M15" s="58"/>
      <c r="N15" s="141">
        <f t="shared" si="5"/>
        <v>0</v>
      </c>
      <c r="O15" s="142">
        <f t="shared" si="6"/>
        <v>0</v>
      </c>
      <c r="P15" s="55" t="str">
        <f t="shared" si="0"/>
        <v/>
      </c>
      <c r="Q15" s="179"/>
      <c r="R15" s="180"/>
      <c r="S15" s="181"/>
      <c r="T15" s="182"/>
      <c r="U15" s="178"/>
      <c r="V15" s="56"/>
      <c r="W15" s="57" t="s">
        <v>155</v>
      </c>
      <c r="X15" s="58"/>
      <c r="Y15" s="141">
        <f t="shared" si="7"/>
        <v>0</v>
      </c>
      <c r="Z15" s="142">
        <f t="shared" si="8"/>
        <v>0</v>
      </c>
      <c r="AA15" s="55" t="str">
        <f t="shared" si="1"/>
        <v/>
      </c>
      <c r="AB15" s="179"/>
      <c r="AC15" s="180"/>
      <c r="AD15" s="181"/>
      <c r="AE15" s="182"/>
      <c r="AF15" s="178"/>
      <c r="AG15" s="56"/>
    </row>
    <row r="16" spans="1:33" ht="15.9" customHeight="1" thickTop="1" thickBot="1">
      <c r="A16" s="60" t="s">
        <v>166</v>
      </c>
      <c r="B16" s="58"/>
      <c r="C16" s="141">
        <f t="shared" si="2"/>
        <v>0</v>
      </c>
      <c r="D16" s="142">
        <f t="shared" si="3"/>
        <v>0</v>
      </c>
      <c r="E16" s="55" t="str">
        <f t="shared" si="4"/>
        <v/>
      </c>
      <c r="F16" s="179"/>
      <c r="G16" s="180"/>
      <c r="H16" s="181"/>
      <c r="I16" s="182"/>
      <c r="J16" s="178"/>
      <c r="K16" s="56"/>
      <c r="L16" s="60" t="s">
        <v>154</v>
      </c>
      <c r="M16" s="58"/>
      <c r="N16" s="141">
        <f t="shared" si="5"/>
        <v>0</v>
      </c>
      <c r="O16" s="142">
        <f t="shared" si="6"/>
        <v>0</v>
      </c>
      <c r="P16" s="55" t="str">
        <f t="shared" si="0"/>
        <v/>
      </c>
      <c r="Q16" s="179"/>
      <c r="R16" s="180"/>
      <c r="S16" s="181"/>
      <c r="T16" s="182"/>
      <c r="U16" s="178"/>
      <c r="V16" s="56"/>
      <c r="W16" s="60" t="s">
        <v>154</v>
      </c>
      <c r="X16" s="58"/>
      <c r="Y16" s="141">
        <f t="shared" si="7"/>
        <v>0</v>
      </c>
      <c r="Z16" s="142">
        <f t="shared" si="8"/>
        <v>0</v>
      </c>
      <c r="AA16" s="55" t="str">
        <f t="shared" si="1"/>
        <v/>
      </c>
      <c r="AB16" s="179"/>
      <c r="AC16" s="180"/>
      <c r="AD16" s="181"/>
      <c r="AE16" s="182"/>
      <c r="AF16" s="178"/>
      <c r="AG16" s="56"/>
    </row>
    <row r="17" spans="1:33" ht="15.9" customHeight="1" thickTop="1" thickBot="1">
      <c r="A17" s="57" t="s">
        <v>154</v>
      </c>
      <c r="B17" s="58"/>
      <c r="C17" s="141">
        <f t="shared" si="2"/>
        <v>0</v>
      </c>
      <c r="D17" s="142">
        <f t="shared" si="3"/>
        <v>0</v>
      </c>
      <c r="E17" s="55" t="str">
        <f t="shared" si="4"/>
        <v/>
      </c>
      <c r="F17" s="179"/>
      <c r="G17" s="180"/>
      <c r="H17" s="181"/>
      <c r="I17" s="182"/>
      <c r="J17" s="178"/>
      <c r="K17" s="56"/>
      <c r="L17" s="57" t="s">
        <v>154</v>
      </c>
      <c r="M17" s="58"/>
      <c r="N17" s="141">
        <f t="shared" si="5"/>
        <v>0</v>
      </c>
      <c r="O17" s="142">
        <f t="shared" si="6"/>
        <v>0</v>
      </c>
      <c r="P17" s="55" t="str">
        <f t="shared" si="0"/>
        <v/>
      </c>
      <c r="Q17" s="179"/>
      <c r="R17" s="180"/>
      <c r="S17" s="181"/>
      <c r="T17" s="182"/>
      <c r="U17" s="178"/>
      <c r="V17" s="56"/>
      <c r="W17" s="57" t="s">
        <v>154</v>
      </c>
      <c r="X17" s="58"/>
      <c r="Y17" s="141">
        <f t="shared" si="7"/>
        <v>0</v>
      </c>
      <c r="Z17" s="142">
        <f t="shared" si="8"/>
        <v>0</v>
      </c>
      <c r="AA17" s="55" t="str">
        <f t="shared" si="1"/>
        <v/>
      </c>
      <c r="AB17" s="179"/>
      <c r="AC17" s="180"/>
      <c r="AD17" s="181"/>
      <c r="AE17" s="182"/>
      <c r="AF17" s="178"/>
      <c r="AG17" s="56"/>
    </row>
    <row r="18" spans="1:33" ht="15.9" customHeight="1" thickTop="1" thickBot="1">
      <c r="A18" s="57" t="s">
        <v>154</v>
      </c>
      <c r="B18" s="58"/>
      <c r="C18" s="141">
        <f t="shared" si="2"/>
        <v>0</v>
      </c>
      <c r="D18" s="142">
        <f t="shared" si="3"/>
        <v>0</v>
      </c>
      <c r="E18" s="55" t="str">
        <f t="shared" si="4"/>
        <v/>
      </c>
      <c r="F18" s="179"/>
      <c r="G18" s="180"/>
      <c r="H18" s="181"/>
      <c r="I18" s="182"/>
      <c r="J18" s="178"/>
      <c r="K18" s="56"/>
      <c r="L18" s="57" t="s">
        <v>154</v>
      </c>
      <c r="M18" s="58"/>
      <c r="N18" s="141">
        <f t="shared" si="5"/>
        <v>0</v>
      </c>
      <c r="O18" s="142">
        <f t="shared" si="6"/>
        <v>0</v>
      </c>
      <c r="P18" s="55" t="str">
        <f t="shared" si="0"/>
        <v/>
      </c>
      <c r="Q18" s="179"/>
      <c r="R18" s="180"/>
      <c r="S18" s="181"/>
      <c r="T18" s="182"/>
      <c r="U18" s="178"/>
      <c r="V18" s="56"/>
      <c r="W18" s="57" t="s">
        <v>154</v>
      </c>
      <c r="X18" s="58"/>
      <c r="Y18" s="141">
        <f t="shared" si="7"/>
        <v>0</v>
      </c>
      <c r="Z18" s="142">
        <f t="shared" si="8"/>
        <v>0</v>
      </c>
      <c r="AA18" s="55" t="str">
        <f t="shared" si="1"/>
        <v/>
      </c>
      <c r="AB18" s="179"/>
      <c r="AC18" s="180"/>
      <c r="AD18" s="181"/>
      <c r="AE18" s="182"/>
      <c r="AF18" s="178"/>
      <c r="AG18" s="56"/>
    </row>
    <row r="19" spans="1:33" ht="15.9" customHeight="1" thickTop="1" thickBot="1">
      <c r="A19" s="57" t="s">
        <v>154</v>
      </c>
      <c r="B19" s="58"/>
      <c r="C19" s="141">
        <f t="shared" si="2"/>
        <v>0</v>
      </c>
      <c r="D19" s="142">
        <f t="shared" si="3"/>
        <v>0</v>
      </c>
      <c r="E19" s="55" t="str">
        <f t="shared" si="4"/>
        <v/>
      </c>
      <c r="F19" s="179"/>
      <c r="G19" s="180"/>
      <c r="H19" s="181"/>
      <c r="I19" s="182"/>
      <c r="J19" s="178"/>
      <c r="K19" s="56"/>
      <c r="L19" s="57" t="s">
        <v>154</v>
      </c>
      <c r="M19" s="58"/>
      <c r="N19" s="141">
        <f t="shared" si="5"/>
        <v>0</v>
      </c>
      <c r="O19" s="142">
        <f t="shared" si="6"/>
        <v>0</v>
      </c>
      <c r="P19" s="55" t="str">
        <f t="shared" si="0"/>
        <v/>
      </c>
      <c r="Q19" s="179"/>
      <c r="R19" s="180"/>
      <c r="S19" s="181"/>
      <c r="T19" s="182"/>
      <c r="U19" s="178"/>
      <c r="V19" s="56"/>
      <c r="W19" s="57" t="s">
        <v>154</v>
      </c>
      <c r="X19" s="58"/>
      <c r="Y19" s="141">
        <f t="shared" si="7"/>
        <v>0</v>
      </c>
      <c r="Z19" s="142">
        <f t="shared" si="8"/>
        <v>0</v>
      </c>
      <c r="AA19" s="55" t="str">
        <f t="shared" si="1"/>
        <v/>
      </c>
      <c r="AB19" s="179"/>
      <c r="AC19" s="180"/>
      <c r="AD19" s="181"/>
      <c r="AE19" s="182"/>
      <c r="AF19" s="178"/>
      <c r="AG19" s="56"/>
    </row>
    <row r="20" spans="1:33" ht="15.9" customHeight="1" thickTop="1" thickBot="1">
      <c r="A20" s="61" t="s">
        <v>160</v>
      </c>
      <c r="B20" s="62">
        <f>SUM(B4:B19)</f>
        <v>0</v>
      </c>
      <c r="C20" s="63">
        <f>SUM(C4:C19)</f>
        <v>0</v>
      </c>
      <c r="D20" s="64">
        <f>SUM(D4:D19)</f>
        <v>0</v>
      </c>
      <c r="E20" s="64">
        <f>SUM(E4:E19)</f>
        <v>0</v>
      </c>
      <c r="F20" s="183"/>
      <c r="G20" s="184"/>
      <c r="H20" s="185"/>
      <c r="I20" s="186"/>
      <c r="J20" s="186"/>
      <c r="K20" s="66"/>
      <c r="L20" s="61" t="s">
        <v>160</v>
      </c>
      <c r="M20" s="62">
        <f>SUM(M4:M19)</f>
        <v>0</v>
      </c>
      <c r="N20" s="63">
        <f>SUM(N4:N19)</f>
        <v>0</v>
      </c>
      <c r="O20" s="64">
        <f>SUM(O4:O19)</f>
        <v>0</v>
      </c>
      <c r="P20" s="64">
        <f>SUM(P4:P19)</f>
        <v>0</v>
      </c>
      <c r="Q20" s="183"/>
      <c r="R20" s="184"/>
      <c r="S20" s="185"/>
      <c r="T20" s="186"/>
      <c r="U20" s="186"/>
      <c r="V20" s="66"/>
      <c r="W20" s="61" t="s">
        <v>160</v>
      </c>
      <c r="X20" s="62">
        <f>SUM(X4:X19)</f>
        <v>0</v>
      </c>
      <c r="Y20" s="63">
        <f>SUM(Y4:Y19)</f>
        <v>0</v>
      </c>
      <c r="Z20" s="64">
        <f>SUM(Z4:Z19)</f>
        <v>0</v>
      </c>
      <c r="AA20" s="64">
        <f>SUM(AA4:AA19)</f>
        <v>0</v>
      </c>
      <c r="AB20" s="183"/>
      <c r="AC20" s="184"/>
      <c r="AD20" s="185"/>
      <c r="AE20" s="186"/>
      <c r="AF20" s="186"/>
      <c r="AG20" s="66"/>
    </row>
    <row r="21" spans="1:33" ht="36.75" customHeight="1" thickTop="1" thickBot="1">
      <c r="A21" s="109"/>
      <c r="B21" s="156"/>
      <c r="C21" s="110" t="s">
        <v>269</v>
      </c>
      <c r="D21" s="110"/>
      <c r="E21" s="158"/>
      <c r="F21" s="131" t="s">
        <v>230</v>
      </c>
      <c r="G21" s="118"/>
      <c r="H21" s="110" t="s">
        <v>201</v>
      </c>
      <c r="I21" s="110"/>
      <c r="J21" s="120" t="s">
        <v>271</v>
      </c>
      <c r="K21" s="115" t="s">
        <v>207</v>
      </c>
      <c r="L21" s="109"/>
      <c r="M21" s="143"/>
      <c r="N21" s="110" t="s">
        <v>270</v>
      </c>
      <c r="O21" s="110"/>
      <c r="P21" s="119"/>
      <c r="Q21" s="110"/>
      <c r="R21" s="118"/>
      <c r="S21" s="110" t="s">
        <v>225</v>
      </c>
      <c r="T21" s="116"/>
      <c r="U21" s="115" t="s">
        <v>274</v>
      </c>
      <c r="V21" s="115" t="s">
        <v>275</v>
      </c>
      <c r="W21" s="109"/>
      <c r="X21" s="143"/>
      <c r="Y21" s="110" t="s">
        <v>270</v>
      </c>
      <c r="Z21" s="110"/>
      <c r="AA21" s="119"/>
      <c r="AB21" s="110"/>
      <c r="AC21" s="118"/>
      <c r="AD21" s="110" t="s">
        <v>225</v>
      </c>
      <c r="AE21" s="116"/>
      <c r="AF21" s="115" t="s">
        <v>343</v>
      </c>
      <c r="AG21" s="115" t="s">
        <v>275</v>
      </c>
    </row>
    <row r="22" spans="1:33" ht="15.9" customHeight="1" thickTop="1" thickBot="1">
      <c r="A22" s="157"/>
      <c r="B22" s="155"/>
      <c r="C22" s="123">
        <f>C20+H20</f>
        <v>0</v>
      </c>
      <c r="D22" s="124"/>
      <c r="E22" s="125"/>
      <c r="F22" s="168">
        <f>ROUNDUP(A24/110,0)</f>
        <v>0</v>
      </c>
      <c r="G22" s="155"/>
      <c r="H22" s="67">
        <f>B20+G20</f>
        <v>0</v>
      </c>
      <c r="I22" s="126"/>
      <c r="J22" s="107">
        <f>E20</f>
        <v>0</v>
      </c>
      <c r="K22" s="122">
        <f>IF(OR(E20&gt;0,J20&gt;0),1,0)</f>
        <v>0</v>
      </c>
      <c r="L22" s="71"/>
      <c r="M22" s="58"/>
      <c r="N22" s="67">
        <f>N20+S20</f>
        <v>0</v>
      </c>
      <c r="O22" s="124"/>
      <c r="P22" s="125"/>
      <c r="Q22" s="67"/>
      <c r="R22" s="105"/>
      <c r="S22" s="67">
        <f>M20+R20</f>
        <v>0</v>
      </c>
      <c r="T22" s="129"/>
      <c r="U22" s="107">
        <f>P20</f>
        <v>0</v>
      </c>
      <c r="V22" s="107">
        <f>IF(OR(P20&gt;0,U20&gt;0),1,0)</f>
        <v>0</v>
      </c>
      <c r="W22" s="71"/>
      <c r="X22" s="58"/>
      <c r="Y22" s="67">
        <f>Y20+AD20</f>
        <v>0</v>
      </c>
      <c r="Z22" s="124"/>
      <c r="AA22" s="125"/>
      <c r="AB22" s="67"/>
      <c r="AC22" s="105"/>
      <c r="AD22" s="67">
        <f>X20+AC20</f>
        <v>0</v>
      </c>
      <c r="AE22" s="129"/>
      <c r="AF22" s="107">
        <f>AA20</f>
        <v>0</v>
      </c>
      <c r="AG22" s="107">
        <f>IF(OR(AA20&gt;0,AF20&gt;0),1,0)</f>
        <v>0</v>
      </c>
    </row>
    <row r="23" spans="1:33" ht="62.4" thickTop="1" thickBot="1">
      <c r="A23" s="116" t="s">
        <v>349</v>
      </c>
      <c r="B23" s="112"/>
      <c r="C23" s="115" t="s">
        <v>347</v>
      </c>
      <c r="D23" s="114" t="s">
        <v>273</v>
      </c>
      <c r="E23" s="131" t="s">
        <v>350</v>
      </c>
      <c r="F23" s="131" t="s">
        <v>375</v>
      </c>
      <c r="G23" s="115" t="s">
        <v>372</v>
      </c>
      <c r="H23" s="115" t="s">
        <v>210</v>
      </c>
      <c r="I23" s="138" t="s">
        <v>323</v>
      </c>
      <c r="J23" s="113" t="s">
        <v>205</v>
      </c>
      <c r="K23" s="116"/>
      <c r="L23" s="116" t="s">
        <v>276</v>
      </c>
      <c r="M23" s="117"/>
      <c r="N23" s="121"/>
      <c r="O23" s="118" t="s">
        <v>272</v>
      </c>
      <c r="P23" s="118"/>
      <c r="Q23" s="118"/>
      <c r="R23" s="116"/>
      <c r="S23" s="115" t="s">
        <v>211</v>
      </c>
      <c r="T23" s="116"/>
      <c r="U23" s="113" t="s">
        <v>194</v>
      </c>
      <c r="V23" s="116"/>
      <c r="W23" s="116" t="s">
        <v>276</v>
      </c>
      <c r="X23" s="117"/>
      <c r="Y23" s="121"/>
      <c r="Z23" s="118" t="s">
        <v>272</v>
      </c>
      <c r="AA23" s="118"/>
      <c r="AB23" s="118"/>
      <c r="AC23" s="116"/>
      <c r="AD23" s="115" t="s">
        <v>211</v>
      </c>
      <c r="AE23" s="116"/>
      <c r="AF23" s="113" t="s">
        <v>345</v>
      </c>
      <c r="AG23" s="116"/>
    </row>
    <row r="24" spans="1:33" ht="17.25" customHeight="1" thickTop="1" thickBot="1">
      <c r="A24" s="128">
        <f>B20+M20+X20</f>
        <v>0</v>
      </c>
      <c r="B24" s="128"/>
      <c r="C24" s="133">
        <f>(ROUNDUP((C20+N20+Y20)/120,0)*120)</f>
        <v>0</v>
      </c>
      <c r="D24" s="129">
        <f>(ROUNDUP(10*H$22/120,0)*120)</f>
        <v>0</v>
      </c>
      <c r="E24" s="132">
        <f>ROUNDUP(A24*0.04,0)</f>
        <v>0</v>
      </c>
      <c r="F24" s="132">
        <f>ROUNDUP(A24*1.05/8.64,0)*8.64</f>
        <v>0</v>
      </c>
      <c r="G24" s="107">
        <f>(ROUNDUP(A24*1.2/25,0))</f>
        <v>0</v>
      </c>
      <c r="H24" s="107">
        <f>IF(E20&gt;0,D20,0)</f>
        <v>0</v>
      </c>
      <c r="I24" s="139">
        <f>J24+U24+AF24</f>
        <v>0</v>
      </c>
      <c r="J24" s="140">
        <f>D20</f>
        <v>0</v>
      </c>
      <c r="K24" s="129"/>
      <c r="L24" s="128">
        <f>S22+H22</f>
        <v>0</v>
      </c>
      <c r="M24" s="25"/>
      <c r="N24" s="25"/>
      <c r="O24" s="129">
        <f>(ROUNDUP(10*S$22/120,0)*120)</f>
        <v>0</v>
      </c>
      <c r="P24" s="130"/>
      <c r="Q24" s="130"/>
      <c r="R24" s="106"/>
      <c r="S24" s="107">
        <f>IF(P20&gt;0,O20,0)</f>
        <v>0</v>
      </c>
      <c r="T24" s="129"/>
      <c r="U24" s="140">
        <f>O20</f>
        <v>0</v>
      </c>
      <c r="V24" s="129"/>
      <c r="W24" s="128">
        <f>AD22+S22</f>
        <v>0</v>
      </c>
      <c r="X24" s="25"/>
      <c r="Y24" s="25"/>
      <c r="Z24" s="129">
        <f>(ROUNDUP(10*AD$22/120,0)*120)</f>
        <v>0</v>
      </c>
      <c r="AA24" s="130"/>
      <c r="AB24" s="130"/>
      <c r="AC24" s="106"/>
      <c r="AD24" s="107">
        <f>IF(AA20&gt;0,Z20,0)</f>
        <v>0</v>
      </c>
      <c r="AE24" s="129"/>
      <c r="AF24" s="140">
        <f>Z20</f>
        <v>0</v>
      </c>
      <c r="AG24" s="129"/>
    </row>
    <row r="25" spans="1:33" ht="15" thickTop="1">
      <c r="C25" s="5"/>
    </row>
    <row r="26" spans="1:33" ht="33.75" customHeight="1">
      <c r="E26" t="s">
        <v>184</v>
      </c>
    </row>
    <row r="184" spans="12:12">
      <c r="L184" t="s">
        <v>171</v>
      </c>
    </row>
  </sheetData>
  <mergeCells count="9">
    <mergeCell ref="Q2:U2"/>
    <mergeCell ref="W1:AA1"/>
    <mergeCell ref="W2:AA2"/>
    <mergeCell ref="AB2:AF2"/>
    <mergeCell ref="A1:E1"/>
    <mergeCell ref="L1:P1"/>
    <mergeCell ref="A2:E2"/>
    <mergeCell ref="F2:J2"/>
    <mergeCell ref="L2:P2"/>
  </mergeCells>
  <conditionalFormatting sqref="J24">
    <cfRule type="cellIs" dxfId="5" priority="3" operator="greaterThan">
      <formula>15</formula>
    </cfRule>
    <cfRule type="cellIs" priority="4" operator="greaterThan">
      <formula>15</formula>
    </cfRule>
  </conditionalFormatting>
  <conditionalFormatting sqref="U24">
    <cfRule type="cellIs" dxfId="4" priority="2" operator="greaterThan">
      <formula>15</formula>
    </cfRule>
  </conditionalFormatting>
  <conditionalFormatting sqref="AF24">
    <cfRule type="cellIs" dxfId="3" priority="1" operator="greaterThan">
      <formula>15</formula>
    </cfRule>
  </conditionalFormatting>
  <pageMargins left="0.70866141732283505" right="0.23622047244094499" top="1.14173228346457" bottom="1.1599999999999999" header="0.196850393700787" footer="0.15748031496063"/>
  <pageSetup paperSize="9" scale="83" orientation="portrait" r:id="rId1"/>
  <headerFooter scaleWithDoc="0" alignWithMargins="0">
    <oddHeader>&amp;L&amp;G&amp;R&amp;G</oddHeader>
    <oddFooter xml:space="preserve">&amp;L
RO33404978
J40/8589/2014
RO56INGB0000999915150915
ING BANK NV&amp;CStr. Învingătorilor nr. 27, Sector 3, București
Tel :  (+4) 0314.361.836
Mobil:  (+4) 0724.204.888
             (+4) 0766.367.287&amp;REmail: 
comercial@magnumheating.ro
</oddFooter>
  </headerFooter>
  <colBreaks count="1" manualBreakCount="1">
    <brk id="3" max="1048575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732DA3-46CB-4CF3-83DA-63C536E5E7EA}">
  <sheetPr>
    <tabColor theme="5" tint="-0.249977111117893"/>
  </sheetPr>
  <dimension ref="A1:Y143"/>
  <sheetViews>
    <sheetView zoomScaleNormal="100" zoomScaleSheetLayoutView="100" workbookViewId="0">
      <selection activeCell="N15" sqref="N15"/>
    </sheetView>
  </sheetViews>
  <sheetFormatPr defaultRowHeight="14.4"/>
  <cols>
    <col min="1" max="1" width="4.6640625" customWidth="1"/>
    <col min="2" max="2" width="10.109375" customWidth="1"/>
    <col min="3" max="3" width="63.44140625" customWidth="1"/>
    <col min="4" max="4" width="5.109375" customWidth="1"/>
    <col min="5" max="5" width="6.109375" customWidth="1"/>
    <col min="6" max="6" width="11.44140625" customWidth="1"/>
    <col min="7" max="7" width="11.109375" customWidth="1"/>
    <col min="8" max="8" width="9.109375" style="244"/>
    <col min="9" max="9" width="10.88671875" customWidth="1"/>
    <col min="14" max="14" width="10.5546875" customWidth="1"/>
    <col min="15" max="15" width="13.5546875" customWidth="1"/>
    <col min="16" max="16" width="16.109375" customWidth="1"/>
    <col min="17" max="17" width="8.5546875" customWidth="1"/>
    <col min="19" max="19" width="7.109375" customWidth="1"/>
    <col min="20" max="20" width="11.44140625" customWidth="1"/>
    <col min="21" max="21" width="13.5546875" customWidth="1"/>
    <col min="22" max="22" width="15.6640625" customWidth="1"/>
    <col min="23" max="23" width="14.109375" customWidth="1"/>
    <col min="24" max="24" width="14.88671875" customWidth="1"/>
  </cols>
  <sheetData>
    <row r="1" spans="1:16">
      <c r="A1" s="529" t="s">
        <v>597</v>
      </c>
      <c r="B1" s="530"/>
      <c r="C1" s="530"/>
    </row>
    <row r="2" spans="1:16" ht="9.75" customHeight="1">
      <c r="A2" s="1"/>
    </row>
    <row r="3" spans="1:16">
      <c r="A3" s="529" t="s">
        <v>168</v>
      </c>
      <c r="B3" s="529"/>
      <c r="C3" s="529"/>
    </row>
    <row r="4" spans="1:16">
      <c r="A4" s="529" t="s">
        <v>176</v>
      </c>
      <c r="B4" s="530"/>
      <c r="C4" s="530"/>
    </row>
    <row r="5" spans="1:16">
      <c r="A5" s="529" t="s">
        <v>91</v>
      </c>
      <c r="B5" s="530"/>
      <c r="C5" s="530"/>
    </row>
    <row r="6" spans="1:16">
      <c r="A6" s="529" t="s">
        <v>82</v>
      </c>
      <c r="B6" s="530"/>
      <c r="C6" s="530"/>
    </row>
    <row r="7" spans="1:16">
      <c r="A7" s="529" t="s">
        <v>172</v>
      </c>
      <c r="B7" s="530"/>
      <c r="C7" s="530"/>
    </row>
    <row r="8" spans="1:16" ht="9.75" customHeight="1"/>
    <row r="9" spans="1:16" ht="15.75" customHeight="1">
      <c r="A9" s="545" t="s">
        <v>0</v>
      </c>
      <c r="B9" s="545"/>
      <c r="C9" s="545"/>
      <c r="D9" s="545"/>
      <c r="E9" s="545"/>
      <c r="F9" s="545"/>
      <c r="G9" s="545"/>
      <c r="H9" s="246"/>
      <c r="I9" s="5"/>
      <c r="J9" s="5"/>
      <c r="K9" s="5"/>
      <c r="L9" s="5"/>
      <c r="M9" s="5"/>
      <c r="N9" s="5"/>
      <c r="O9" s="5"/>
      <c r="P9" s="5"/>
    </row>
    <row r="10" spans="1:16" ht="18.75" customHeight="1">
      <c r="A10" s="524" t="s">
        <v>215</v>
      </c>
      <c r="B10" s="524"/>
      <c r="C10" s="524"/>
      <c r="D10" s="524"/>
      <c r="E10" s="524"/>
      <c r="F10" s="524"/>
      <c r="G10" s="524"/>
      <c r="H10" s="246"/>
      <c r="I10" s="5"/>
      <c r="J10" s="5"/>
      <c r="K10" s="5"/>
      <c r="L10" s="5"/>
      <c r="M10" s="5"/>
      <c r="N10" s="5"/>
      <c r="O10" s="5"/>
      <c r="P10" s="5"/>
    </row>
    <row r="11" spans="1:16" ht="18" customHeight="1">
      <c r="A11" s="524" t="s">
        <v>351</v>
      </c>
      <c r="B11" s="528"/>
      <c r="C11" s="528"/>
      <c r="D11" s="148">
        <f>'Calcul FiberBoard'!A24</f>
        <v>0</v>
      </c>
      <c r="E11" s="154" t="s">
        <v>92</v>
      </c>
      <c r="F11" s="4"/>
      <c r="G11" s="4"/>
      <c r="H11" s="246"/>
      <c r="I11" s="5"/>
      <c r="J11" s="5"/>
      <c r="K11" s="5"/>
      <c r="L11" s="5"/>
      <c r="M11" s="5"/>
      <c r="N11" s="5"/>
      <c r="O11" s="5"/>
      <c r="P11" s="5"/>
    </row>
    <row r="12" spans="1:16" ht="27.9" customHeight="1">
      <c r="A12" s="4"/>
      <c r="B12" s="4"/>
      <c r="C12" s="4"/>
      <c r="D12" s="4"/>
      <c r="E12" s="4"/>
      <c r="F12" s="4"/>
      <c r="G12" s="4"/>
      <c r="H12" s="246"/>
      <c r="I12" s="5"/>
      <c r="J12" s="5"/>
      <c r="K12" s="5"/>
      <c r="L12" s="5"/>
      <c r="M12" s="5"/>
      <c r="N12" s="5"/>
      <c r="O12" s="5"/>
      <c r="P12" s="5"/>
    </row>
    <row r="13" spans="1:16" ht="27.9" customHeight="1">
      <c r="A13" s="4"/>
      <c r="B13" s="4"/>
      <c r="C13" s="4"/>
      <c r="D13" s="4"/>
      <c r="E13" s="4"/>
      <c r="F13" s="4"/>
      <c r="G13" s="4"/>
      <c r="H13" s="246"/>
      <c r="I13" s="5"/>
      <c r="J13" s="5"/>
      <c r="K13" s="5"/>
      <c r="L13" s="5"/>
      <c r="M13" s="5"/>
      <c r="N13" s="5"/>
      <c r="O13" s="5"/>
      <c r="P13" s="5"/>
    </row>
    <row r="14" spans="1:16">
      <c r="A14" s="4"/>
      <c r="B14" s="4"/>
      <c r="C14" s="4"/>
      <c r="D14" s="4"/>
      <c r="E14" s="4"/>
      <c r="F14" s="4"/>
      <c r="G14" s="4"/>
      <c r="H14" s="246"/>
      <c r="I14" s="5"/>
      <c r="J14" s="5"/>
      <c r="K14" s="5"/>
      <c r="L14" s="5"/>
      <c r="M14" s="5"/>
      <c r="N14" s="5"/>
      <c r="O14" s="5"/>
      <c r="P14" s="5"/>
    </row>
    <row r="15" spans="1:16" ht="32.25" customHeight="1">
      <c r="A15" s="4"/>
      <c r="B15" s="4"/>
      <c r="C15" s="4"/>
      <c r="D15" s="4"/>
      <c r="E15" s="4"/>
      <c r="F15" s="4"/>
      <c r="G15" s="4"/>
      <c r="H15" s="246"/>
      <c r="I15" s="5"/>
      <c r="J15" s="5"/>
      <c r="K15" s="5"/>
      <c r="L15" s="5"/>
      <c r="M15" s="5"/>
      <c r="N15" s="5"/>
      <c r="O15" s="5"/>
      <c r="P15" s="5">
        <f>IF(AND('Calcul FiberBoard'!$J$24&gt;=4, 'Calcul FiberBoard'!$U$24&gt;=4, 'Calcul FiberBoard'!$AF$24&gt;=4), 3,
   IF(COUNTIF('Calcul FiberBoard'!$J$24, "&gt;=4")+COUNTIF('Calcul FiberBoard'!$U$24, "&gt;=4")+COUNTIF('Calcul FiberBoard'!$AF$24, "&gt;=4")=2, 2,
   IF(COUNTIF('Calcul FiberBoard'!$J$24, "&gt;=4")+COUNTIF('Calcul FiberBoard'!$U$24, "&gt;=4")+COUNTIF('Calcul FiberBoard'!$AF$24, "&gt;=4")=1, 1, 0)))</f>
        <v>0</v>
      </c>
    </row>
    <row r="16" spans="1:16" ht="32.25" customHeight="1">
      <c r="A16" s="4"/>
      <c r="B16" s="4"/>
      <c r="C16" s="4"/>
      <c r="D16" s="4"/>
      <c r="E16" s="4"/>
      <c r="F16" s="4"/>
      <c r="G16" s="4"/>
      <c r="H16" s="246"/>
      <c r="I16" s="5"/>
      <c r="J16" s="5"/>
      <c r="K16" s="5"/>
      <c r="L16" s="5"/>
      <c r="M16" s="5"/>
      <c r="N16" s="5"/>
      <c r="O16" s="5"/>
      <c r="P16" s="5"/>
    </row>
    <row r="17" spans="1:16" ht="21" customHeight="1">
      <c r="A17" s="4"/>
      <c r="B17" s="4"/>
      <c r="C17" s="4"/>
      <c r="D17" s="4"/>
      <c r="E17" s="4"/>
      <c r="F17" s="4"/>
      <c r="G17" s="4"/>
      <c r="H17" s="246"/>
      <c r="I17" s="5"/>
      <c r="J17" s="5"/>
      <c r="K17" s="5"/>
      <c r="L17" s="5"/>
      <c r="M17" s="5"/>
      <c r="N17" s="5"/>
      <c r="O17" s="5"/>
      <c r="P17" s="5"/>
    </row>
    <row r="18" spans="1:16" ht="21.75" customHeight="1" thickBot="1">
      <c r="A18" s="525" t="s">
        <v>140</v>
      </c>
      <c r="B18" s="525"/>
      <c r="C18" s="525"/>
      <c r="D18" s="525"/>
      <c r="E18" s="525"/>
      <c r="F18" s="525"/>
      <c r="G18" s="525"/>
      <c r="H18" s="247"/>
      <c r="I18" s="5"/>
      <c r="J18" s="5"/>
      <c r="K18" s="5"/>
      <c r="L18" s="5"/>
      <c r="M18" s="5"/>
      <c r="N18" s="5"/>
      <c r="O18" s="5"/>
      <c r="P18" s="5"/>
    </row>
    <row r="19" spans="1:16" ht="18.75" customHeight="1" thickTop="1">
      <c r="A19" s="6" t="s">
        <v>1</v>
      </c>
      <c r="B19" s="518" t="s">
        <v>3</v>
      </c>
      <c r="C19" s="518" t="s">
        <v>4</v>
      </c>
      <c r="D19" s="518" t="s">
        <v>5</v>
      </c>
      <c r="E19" s="518" t="s">
        <v>6</v>
      </c>
      <c r="F19" s="7" t="s">
        <v>7</v>
      </c>
      <c r="G19" s="8" t="s">
        <v>9</v>
      </c>
      <c r="H19" s="247"/>
      <c r="I19" s="5"/>
      <c r="J19" s="5"/>
      <c r="K19" s="5"/>
      <c r="L19" s="5"/>
      <c r="M19" s="5"/>
      <c r="N19" s="5"/>
      <c r="O19" s="5"/>
      <c r="P19" s="5"/>
    </row>
    <row r="20" spans="1:16" ht="26.25" customHeight="1" thickBot="1">
      <c r="A20" s="17" t="s">
        <v>2</v>
      </c>
      <c r="B20" s="527"/>
      <c r="C20" s="527"/>
      <c r="D20" s="527"/>
      <c r="E20" s="527"/>
      <c r="F20" s="18" t="s">
        <v>8</v>
      </c>
      <c r="G20" s="19" t="s">
        <v>8</v>
      </c>
      <c r="H20" s="247"/>
      <c r="I20" s="5"/>
      <c r="J20" s="5"/>
      <c r="K20" s="5"/>
      <c r="L20" s="5"/>
      <c r="M20" s="5"/>
      <c r="N20" s="5"/>
      <c r="O20" s="5"/>
      <c r="P20" s="5"/>
    </row>
    <row r="21" spans="1:16" ht="20.25" customHeight="1" thickTop="1" thickBot="1">
      <c r="A21" s="564" t="s">
        <v>352</v>
      </c>
      <c r="B21" s="578"/>
      <c r="C21" s="578"/>
      <c r="D21" s="146">
        <f>'Calcul FiberBoard'!A24</f>
        <v>0</v>
      </c>
      <c r="E21" s="75"/>
      <c r="F21" s="75"/>
      <c r="G21" s="39"/>
      <c r="H21" s="248">
        <f>SUM(H22:H24)</f>
        <v>0</v>
      </c>
      <c r="I21" s="5"/>
      <c r="J21" s="5"/>
      <c r="K21" s="5"/>
      <c r="L21" s="5"/>
      <c r="M21" s="5"/>
      <c r="N21" s="5"/>
      <c r="O21" s="5"/>
      <c r="P21" s="5"/>
    </row>
    <row r="22" spans="1:16" ht="27.9" customHeight="1" thickTop="1" thickBot="1">
      <c r="A22" s="12"/>
      <c r="B22" s="2" t="s">
        <v>353</v>
      </c>
      <c r="C22" s="194" t="s">
        <v>356</v>
      </c>
      <c r="D22" s="2" t="s">
        <v>11</v>
      </c>
      <c r="E22" s="108">
        <f>ROUNDUP('Calcul FiberBoard'!A24*40/100/0.36,0)</f>
        <v>0</v>
      </c>
      <c r="F22" s="285">
        <v>21</v>
      </c>
      <c r="G22" s="33">
        <f>E22*F22</f>
        <v>0</v>
      </c>
      <c r="H22" s="248">
        <f>E22</f>
        <v>0</v>
      </c>
      <c r="I22" s="5"/>
      <c r="J22" s="5"/>
      <c r="K22" s="5"/>
      <c r="L22" s="5"/>
      <c r="M22" s="5"/>
      <c r="N22" s="5"/>
      <c r="O22" s="5"/>
      <c r="P22" s="5"/>
    </row>
    <row r="23" spans="1:16" ht="27.9" customHeight="1" thickBot="1">
      <c r="A23" s="12"/>
      <c r="B23" s="2" t="s">
        <v>354</v>
      </c>
      <c r="C23" s="194" t="s">
        <v>357</v>
      </c>
      <c r="D23" s="2" t="s">
        <v>11</v>
      </c>
      <c r="E23" s="108">
        <f>IF(AND('Calcul FiberBoard'!$J$24&gt;=4, 'Calcul FiberBoard'!$U$24&gt;=4, 'Calcul FiberBoard'!$AF$24&gt;=4), 3,
   IF(COUNTIF('Calcul FiberBoard'!$J$24, "&gt;=4")+COUNTIF('Calcul FiberBoard'!$U$24, "&gt;=4")+COUNTIF('Calcul FiberBoard'!$AF$24, "&gt;=4")=2, 2,
   IF(COUNTIF('Calcul FiberBoard'!$J$24, "&gt;=4")+COUNTIF('Calcul FiberBoard'!$U$24, "&gt;=4")+COUNTIF('Calcul FiberBoard'!$AF$24, "&gt;=4")=1, 1, 0)))</f>
        <v>0</v>
      </c>
      <c r="F23" s="286">
        <v>42</v>
      </c>
      <c r="G23" s="33">
        <f>E23*F23</f>
        <v>0</v>
      </c>
      <c r="H23" s="248">
        <f>E23</f>
        <v>0</v>
      </c>
      <c r="I23" s="5"/>
      <c r="J23" s="5"/>
      <c r="K23" s="5"/>
      <c r="L23" s="5"/>
      <c r="M23" s="5"/>
      <c r="N23" s="5"/>
      <c r="O23" s="5"/>
      <c r="P23" s="5"/>
    </row>
    <row r="24" spans="1:16" ht="27.9" customHeight="1" thickBot="1">
      <c r="A24" s="35"/>
      <c r="B24" s="36" t="s">
        <v>355</v>
      </c>
      <c r="C24" s="313" t="s">
        <v>358</v>
      </c>
      <c r="D24" s="36" t="s">
        <v>11</v>
      </c>
      <c r="E24" s="136">
        <f>ROUNDUP('Calcul FiberBoard'!A24*60/100/0.72,0)</f>
        <v>0</v>
      </c>
      <c r="F24" s="303">
        <v>36</v>
      </c>
      <c r="G24" s="38">
        <f>E24*F24</f>
        <v>0</v>
      </c>
      <c r="H24" s="248">
        <f>E24</f>
        <v>0</v>
      </c>
      <c r="I24" s="5"/>
      <c r="J24" s="5"/>
      <c r="K24" s="5"/>
      <c r="L24" s="5"/>
      <c r="M24" s="5"/>
      <c r="N24" s="5"/>
      <c r="O24" s="5"/>
      <c r="P24" s="5"/>
    </row>
    <row r="25" spans="1:16" ht="20.100000000000001" customHeight="1" thickTop="1" thickBot="1">
      <c r="A25" s="564" t="s">
        <v>16</v>
      </c>
      <c r="B25" s="565"/>
      <c r="C25" s="565"/>
      <c r="D25" s="565"/>
      <c r="E25" s="565"/>
      <c r="F25" s="565"/>
      <c r="G25" s="39"/>
      <c r="H25" s="248">
        <f>SUM(H26:H54)</f>
        <v>0</v>
      </c>
      <c r="I25" s="5"/>
      <c r="J25" s="5"/>
      <c r="K25" s="5"/>
      <c r="L25" s="5" t="s">
        <v>85</v>
      </c>
      <c r="M25" s="5"/>
      <c r="N25" s="5"/>
      <c r="O25" s="5"/>
      <c r="P25" s="5"/>
    </row>
    <row r="26" spans="1:16" ht="18" customHeight="1" thickTop="1" thickBot="1">
      <c r="A26" s="12"/>
      <c r="B26" s="2" t="s">
        <v>109</v>
      </c>
      <c r="C26" s="13" t="s">
        <v>110</v>
      </c>
      <c r="D26" s="3" t="s">
        <v>14</v>
      </c>
      <c r="E26" s="2">
        <f>'Calcul FiberBoard'!G24</f>
        <v>0</v>
      </c>
      <c r="F26" s="285">
        <v>11</v>
      </c>
      <c r="G26" s="33">
        <f>E26*F26</f>
        <v>0</v>
      </c>
      <c r="H26" s="248">
        <f>E26</f>
        <v>0</v>
      </c>
      <c r="I26" s="5"/>
      <c r="J26" s="5"/>
      <c r="K26" s="5"/>
      <c r="L26" s="5"/>
      <c r="M26" s="5"/>
      <c r="N26" s="5"/>
      <c r="O26" s="5"/>
      <c r="P26" s="5"/>
    </row>
    <row r="27" spans="1:16" ht="18" customHeight="1" thickBot="1">
      <c r="A27" s="12"/>
      <c r="B27" s="2" t="s">
        <v>17</v>
      </c>
      <c r="C27" s="13" t="s">
        <v>18</v>
      </c>
      <c r="D27" s="20" t="s">
        <v>14</v>
      </c>
      <c r="E27" s="20">
        <f>IF('Calcul FiberBoard'!$C$24&gt;=300,MIN(MOD('Calcul FiberBoard'!$C$24,300)/100,INT('Calcul FiberBoard'!$C$24/100)),IF('Calcul FiberBoard'!$C$24&gt;=100,INT('Calcul FiberBoard'!$C$24/100),0))</f>
        <v>0</v>
      </c>
      <c r="F27" s="286">
        <v>52</v>
      </c>
      <c r="G27" s="33">
        <f>E27*F27</f>
        <v>0</v>
      </c>
      <c r="H27" s="248">
        <f>E27</f>
        <v>0</v>
      </c>
      <c r="I27" s="5"/>
      <c r="J27" s="5"/>
      <c r="K27" s="5"/>
      <c r="L27" s="5"/>
      <c r="M27" s="5"/>
      <c r="N27" s="5"/>
      <c r="O27" s="5"/>
      <c r="P27" s="5"/>
    </row>
    <row r="28" spans="1:16" ht="18" customHeight="1" thickBot="1">
      <c r="A28" s="12"/>
      <c r="B28" s="2" t="s">
        <v>19</v>
      </c>
      <c r="C28" s="13" t="s">
        <v>20</v>
      </c>
      <c r="D28" s="28" t="s">
        <v>14</v>
      </c>
      <c r="E28" s="20">
        <f>IF('Calcul FiberBoard'!$C$24&gt;=300,INT('Calcul FiberBoard'!$C$24/300),0)</f>
        <v>0</v>
      </c>
      <c r="F28" s="286">
        <v>153</v>
      </c>
      <c r="G28" s="33">
        <f>E28*F28</f>
        <v>0</v>
      </c>
      <c r="H28" s="248">
        <f>E28</f>
        <v>0</v>
      </c>
      <c r="I28" s="5"/>
      <c r="J28" s="5"/>
      <c r="K28" s="5"/>
      <c r="L28" s="5"/>
      <c r="M28" s="5"/>
      <c r="N28" s="5"/>
      <c r="O28" s="5"/>
      <c r="P28" s="5"/>
    </row>
    <row r="29" spans="1:16" ht="50.1" customHeight="1" thickBot="1">
      <c r="A29" s="12"/>
      <c r="B29" s="2" t="s">
        <v>35</v>
      </c>
      <c r="C29" s="13" t="s">
        <v>118</v>
      </c>
      <c r="D29" s="2" t="s">
        <v>11</v>
      </c>
      <c r="E29" s="2">
        <f>IF(AND('Calcul FiberBoard'!$J$24=2, 'Calcul FiberBoard'!$U$24=2, 'Calcul FiberBoard'!$AF$24=2), 3,
IF(OR(AND('Calcul FiberBoard'!$J$24=2, 'Calcul FiberBoard'!$U$24=2),
      AND('Calcul FiberBoard'!$J$24=2, 'Calcul FiberBoard'!$AF$24=2),
      AND('Calcul FiberBoard'!$U$24=2, 'Calcul FiberBoard'!$AF$24=2)), 2,
IF(OR('Calcul FiberBoard'!$J$24=2, 'Calcul FiberBoard'!$U$24=2, 'Calcul FiberBoard'!$AF$24=2), 1, 0)))</f>
        <v>0</v>
      </c>
      <c r="F29" s="286">
        <v>104</v>
      </c>
      <c r="G29" s="33">
        <f t="shared" ref="G29:G54" si="0">E29*F29</f>
        <v>0</v>
      </c>
      <c r="H29" s="248">
        <f t="shared" ref="H29:H54" si="1">E29</f>
        <v>0</v>
      </c>
      <c r="I29" s="5"/>
      <c r="J29" s="5"/>
      <c r="K29" s="5"/>
      <c r="L29" s="5"/>
      <c r="M29" s="5"/>
      <c r="N29" s="5"/>
      <c r="O29" s="5"/>
      <c r="P29" s="5"/>
    </row>
    <row r="30" spans="1:16" ht="50.1" customHeight="1" thickBot="1">
      <c r="A30" s="12"/>
      <c r="B30" s="2" t="s">
        <v>36</v>
      </c>
      <c r="C30" s="13" t="s">
        <v>119</v>
      </c>
      <c r="D30" s="2" t="s">
        <v>11</v>
      </c>
      <c r="E30" s="2">
        <f>IF(AND('Calcul FiberBoard'!$J$24=3, 'Calcul FiberBoard'!$U$24=3, 'Calcul FiberBoard'!$AF$24=3), 3,
IF(OR(AND('Calcul FiberBoard'!$J$24=3, 'Calcul FiberBoard'!$U$24=3),
      AND('Calcul FiberBoard'!$J$24=3, 'Calcul FiberBoard'!$AF$24=3),
      AND('Calcul FiberBoard'!$U$24=3, 'Calcul FiberBoard'!$AF$24=3)), 2,
IF(OR('Calcul FiberBoard'!$J$24=3, 'Calcul FiberBoard'!$U$24=3, 'Calcul FiberBoard'!$AF$24=3), 1, 0)))</f>
        <v>0</v>
      </c>
      <c r="F30" s="286">
        <v>120</v>
      </c>
      <c r="G30" s="33">
        <f t="shared" si="0"/>
        <v>0</v>
      </c>
      <c r="H30" s="248">
        <f t="shared" si="1"/>
        <v>0</v>
      </c>
      <c r="I30" s="5"/>
      <c r="J30" s="5"/>
      <c r="K30" s="5"/>
      <c r="L30" s="5"/>
      <c r="M30" s="5"/>
      <c r="N30" s="5"/>
      <c r="O30" s="5"/>
      <c r="P30" s="5"/>
    </row>
    <row r="31" spans="1:16" ht="50.1" customHeight="1" thickBot="1">
      <c r="A31" s="12"/>
      <c r="B31" s="2" t="s">
        <v>37</v>
      </c>
      <c r="C31" s="13" t="s">
        <v>120</v>
      </c>
      <c r="D31" s="2" t="s">
        <v>11</v>
      </c>
      <c r="E31" s="2">
        <f>IF(AND('Calcul FiberBoard'!$J$24=4, 'Calcul FiberBoard'!$U$24=4, 'Calcul FiberBoard'!$AF$24=4), 3,
IF(OR(AND('Calcul FiberBoard'!$J$24=4, 'Calcul FiberBoard'!$U$24=4),
      AND('Calcul FiberBoard'!$J$24=4, 'Calcul FiberBoard'!$AF$24=4),
      AND('Calcul FiberBoard'!$U$24=4, 'Calcul FiberBoard'!$AF$24=4)), 2,
IF(OR('Calcul FiberBoard'!$J$24=4, 'Calcul FiberBoard'!$U$24=4, 'Calcul FiberBoard'!$AF$24=4), 1, 0)))</f>
        <v>0</v>
      </c>
      <c r="F31" s="286">
        <v>136</v>
      </c>
      <c r="G31" s="33">
        <f t="shared" si="0"/>
        <v>0</v>
      </c>
      <c r="H31" s="248">
        <f t="shared" si="1"/>
        <v>0</v>
      </c>
      <c r="I31" s="5"/>
      <c r="J31" s="5"/>
      <c r="K31" s="5"/>
      <c r="L31" s="5"/>
      <c r="M31" s="5"/>
      <c r="N31" s="5"/>
      <c r="O31" s="5"/>
      <c r="P31" s="5"/>
    </row>
    <row r="32" spans="1:16" ht="50.1" customHeight="1" thickBot="1">
      <c r="A32" s="12"/>
      <c r="B32" s="2" t="s">
        <v>23</v>
      </c>
      <c r="C32" s="13" t="s">
        <v>121</v>
      </c>
      <c r="D32" s="2" t="s">
        <v>11</v>
      </c>
      <c r="E32" s="2">
        <f>IF(AND('Calcul FiberBoard'!$J$24=5, 'Calcul FiberBoard'!$U$24=5, 'Calcul FiberBoard'!$AF$24=5), 3,
IF(OR(AND('Calcul FiberBoard'!$J$24=5, 'Calcul FiberBoard'!$U$24=5),
      AND('Calcul FiberBoard'!$J$24=5, 'Calcul FiberBoard'!$AF$24=5),
      AND('Calcul FiberBoard'!$U$24=5, 'Calcul FiberBoard'!$AF$24=5)), 2,
IF(OR('Calcul FiberBoard'!$J$24=5, 'Calcul FiberBoard'!$U$24=5, 'Calcul FiberBoard'!$AF$24=5), 1, 0)))</f>
        <v>0</v>
      </c>
      <c r="F32" s="286">
        <v>151</v>
      </c>
      <c r="G32" s="33">
        <f t="shared" si="0"/>
        <v>0</v>
      </c>
      <c r="H32" s="248">
        <f t="shared" si="1"/>
        <v>0</v>
      </c>
      <c r="I32" s="5"/>
      <c r="J32" s="5"/>
      <c r="K32" s="5"/>
      <c r="L32" s="5"/>
      <c r="M32" s="5"/>
      <c r="N32" s="5"/>
      <c r="O32" s="5"/>
      <c r="P32" s="5"/>
    </row>
    <row r="33" spans="1:17" ht="50.1" customHeight="1" thickBot="1">
      <c r="A33" s="12"/>
      <c r="B33" s="2" t="s">
        <v>22</v>
      </c>
      <c r="C33" s="13" t="s">
        <v>409</v>
      </c>
      <c r="D33" s="2" t="s">
        <v>11</v>
      </c>
      <c r="E33" s="2">
        <f>IF(AND('Calcul FiberBoard'!$J$24=6, 'Calcul FiberBoard'!$U$24=6, 'Calcul FiberBoard'!$AF$24=6), 3,
IF(OR(AND('Calcul FiberBoard'!$J$24=6, 'Calcul FiberBoard'!$U$24=6),
      AND('Calcul FiberBoard'!$J$24=6, 'Calcul FiberBoard'!$AF$24=6),
      AND('Calcul FiberBoard'!$U$24=6, 'Calcul FiberBoard'!$AF$24=6)), 2,
IF(OR('Calcul FiberBoard'!$J$24=6, 'Calcul FiberBoard'!$U$24=6, 'Calcul FiberBoard'!$AF$24=6), 1, 0)))</f>
        <v>0</v>
      </c>
      <c r="F33" s="286">
        <v>168</v>
      </c>
      <c r="G33" s="33">
        <f t="shared" si="0"/>
        <v>0</v>
      </c>
      <c r="H33" s="248">
        <f t="shared" si="1"/>
        <v>0</v>
      </c>
      <c r="I33" s="5"/>
      <c r="J33" s="5"/>
      <c r="K33" s="5"/>
      <c r="L33" s="5"/>
      <c r="M33" s="5"/>
      <c r="N33" s="5"/>
      <c r="O33" s="5"/>
      <c r="P33" s="5"/>
    </row>
    <row r="34" spans="1:17" ht="50.1" customHeight="1" thickBot="1">
      <c r="A34" s="12"/>
      <c r="B34" s="2" t="s">
        <v>21</v>
      </c>
      <c r="C34" s="13" t="s">
        <v>304</v>
      </c>
      <c r="D34" s="2" t="s">
        <v>11</v>
      </c>
      <c r="E34" s="2">
        <f>IF(AND('Calcul FiberBoard'!$J$24=7, 'Calcul FiberBoard'!$U$24=7, 'Calcul FiberBoard'!$AF$24=7), 3,
IF(OR(AND('Calcul FiberBoard'!$J$24=7, 'Calcul FiberBoard'!$U$24=7),
      AND('Calcul FiberBoard'!$J$24=7, 'Calcul FiberBoard'!$AF$24=7),
      AND('Calcul FiberBoard'!$U$24=7, 'Calcul FiberBoard'!$AF$24=7)), 2,
IF(OR('Calcul FiberBoard'!$J$24=7, 'Calcul FiberBoard'!$U$24=7, 'Calcul FiberBoard'!$AF$24=7), 1, 0)))</f>
        <v>0</v>
      </c>
      <c r="F34" s="286">
        <v>184</v>
      </c>
      <c r="G34" s="33">
        <f t="shared" si="0"/>
        <v>0</v>
      </c>
      <c r="H34" s="248">
        <f t="shared" si="1"/>
        <v>0</v>
      </c>
      <c r="I34" s="5"/>
      <c r="J34" s="5"/>
      <c r="K34" s="5"/>
      <c r="L34" s="5"/>
      <c r="M34" s="5"/>
      <c r="N34" s="5"/>
      <c r="O34" s="5"/>
      <c r="P34" s="5"/>
    </row>
    <row r="35" spans="1:17" ht="50.1" customHeight="1" thickBot="1">
      <c r="A35" s="12"/>
      <c r="B35" s="2" t="s">
        <v>38</v>
      </c>
      <c r="C35" s="13" t="s">
        <v>167</v>
      </c>
      <c r="D35" s="2" t="s">
        <v>11</v>
      </c>
      <c r="E35" s="2">
        <f>IF(AND('Calcul FiberBoard'!$J$24=8, 'Calcul FiberBoard'!$U$24=8, 'Calcul FiberBoard'!$AF$24=8), 3,
IF(OR(AND('Calcul FiberBoard'!$J$24=8, 'Calcul FiberBoard'!$U$24=8),
      AND('Calcul FiberBoard'!$J$24=8, 'Calcul FiberBoard'!$AF$24=8),
      AND('Calcul FiberBoard'!$U$24=8, 'Calcul FiberBoard'!$AF$24=8)), 2,
IF(OR('Calcul FiberBoard'!$J$24=8, 'Calcul FiberBoard'!$U$24=8, 'Calcul FiberBoard'!$AF$24=8), 1, 0)))</f>
        <v>0</v>
      </c>
      <c r="F35" s="286">
        <v>200</v>
      </c>
      <c r="G35" s="33">
        <f t="shared" si="0"/>
        <v>0</v>
      </c>
      <c r="H35" s="248">
        <f t="shared" si="1"/>
        <v>0</v>
      </c>
      <c r="I35" s="5"/>
      <c r="J35" s="5"/>
      <c r="K35" s="5"/>
      <c r="L35" s="5"/>
      <c r="M35" s="5"/>
      <c r="N35" s="5"/>
      <c r="O35" s="5"/>
      <c r="P35" s="5"/>
    </row>
    <row r="36" spans="1:17" ht="50.1" customHeight="1" thickBot="1">
      <c r="A36" s="12"/>
      <c r="B36" s="2" t="s">
        <v>39</v>
      </c>
      <c r="C36" s="13" t="s">
        <v>173</v>
      </c>
      <c r="D36" s="2" t="s">
        <v>11</v>
      </c>
      <c r="E36" s="2">
        <f>IF(AND('Calcul FiberBoard'!$J$24=9, 'Calcul FiberBoard'!$U$24=9, 'Calcul FiberBoard'!$AF$24=9), 3,
IF(OR(AND('Calcul FiberBoard'!$J$24=9, 'Calcul FiberBoard'!$U$24=9),
      AND('Calcul FiberBoard'!$J$24=9, 'Calcul FiberBoard'!$AF$24=9),
      AND('Calcul FiberBoard'!$U$24=9, 'Calcul FiberBoard'!$AF$24=9)), 2,
IF(OR('Calcul FiberBoard'!$J$24=9, 'Calcul FiberBoard'!$U$24=9, 'Calcul FiberBoard'!$AF$24=9), 1, 0)))</f>
        <v>0</v>
      </c>
      <c r="F36" s="286">
        <v>215</v>
      </c>
      <c r="G36" s="33">
        <f t="shared" si="0"/>
        <v>0</v>
      </c>
      <c r="H36" s="248">
        <f t="shared" si="1"/>
        <v>0</v>
      </c>
      <c r="I36" s="5"/>
      <c r="J36" s="5"/>
      <c r="K36" s="5"/>
      <c r="L36" s="5"/>
      <c r="M36" s="5"/>
      <c r="N36" s="5"/>
      <c r="O36" s="5"/>
      <c r="P36" s="5"/>
    </row>
    <row r="37" spans="1:17" ht="50.1" customHeight="1" thickBot="1">
      <c r="A37" s="12"/>
      <c r="B37" s="2" t="s">
        <v>40</v>
      </c>
      <c r="C37" s="13" t="s">
        <v>122</v>
      </c>
      <c r="D37" s="2" t="s">
        <v>11</v>
      </c>
      <c r="E37" s="2">
        <f>IF(AND('Calcul FiberBoard'!$J$24=10, 'Calcul FiberBoard'!$U$24=10, 'Calcul FiberBoard'!$AF$24=10), 3,
IF(OR(AND('Calcul FiberBoard'!$J$24=10, 'Calcul FiberBoard'!$U$24=10),
      AND('Calcul FiberBoard'!$J$24=10, 'Calcul FiberBoard'!$AF$24=10),
      AND('Calcul FiberBoard'!$U$24=10, 'Calcul FiberBoard'!$AF$24=10)), 2,
IF(OR('Calcul FiberBoard'!$J$24=10, 'Calcul FiberBoard'!$U$24=10, 'Calcul FiberBoard'!$AF$24=10), 1, 0)))</f>
        <v>0</v>
      </c>
      <c r="F37" s="286">
        <v>233</v>
      </c>
      <c r="G37" s="33">
        <f t="shared" si="0"/>
        <v>0</v>
      </c>
      <c r="H37" s="248">
        <f t="shared" si="1"/>
        <v>0</v>
      </c>
      <c r="I37" s="5"/>
      <c r="J37" s="5"/>
      <c r="K37" s="5"/>
      <c r="L37" s="5"/>
      <c r="M37" s="5"/>
      <c r="N37" s="5"/>
      <c r="O37" s="5"/>
      <c r="P37" s="5"/>
    </row>
    <row r="38" spans="1:17" ht="50.1" customHeight="1" thickBot="1">
      <c r="A38" s="12"/>
      <c r="B38" s="2" t="s">
        <v>41</v>
      </c>
      <c r="C38" s="13" t="s">
        <v>123</v>
      </c>
      <c r="D38" s="2" t="s">
        <v>11</v>
      </c>
      <c r="E38" s="2">
        <f>IF(AND('Calcul FiberBoard'!$J$24=11, 'Calcul FiberBoard'!$U$24=11, 'Calcul FiberBoard'!$AF$24=11), 3,
IF(OR(AND('Calcul FiberBoard'!$J$24=11, 'Calcul FiberBoard'!$U$24=11),
      AND('Calcul FiberBoard'!$J$24=11, 'Calcul FiberBoard'!$AF$24=11),
      AND('Calcul FiberBoard'!$U$24=11, 'Calcul FiberBoard'!$AF$24=11)), 2,
IF(OR('Calcul FiberBoard'!$J$24=11, 'Calcul FiberBoard'!$U$24=11, 'Calcul FiberBoard'!$AF$24=11), 1, 0)))</f>
        <v>0</v>
      </c>
      <c r="F38" s="286">
        <v>247</v>
      </c>
      <c r="G38" s="33">
        <f t="shared" si="0"/>
        <v>0</v>
      </c>
      <c r="H38" s="248">
        <f t="shared" si="1"/>
        <v>0</v>
      </c>
      <c r="I38" s="5"/>
      <c r="J38" s="5"/>
      <c r="K38" s="5"/>
      <c r="L38" s="5"/>
      <c r="M38" s="5"/>
      <c r="N38" s="5"/>
      <c r="O38" s="5"/>
      <c r="P38" s="5"/>
    </row>
    <row r="39" spans="1:17" ht="50.1" customHeight="1" thickBot="1">
      <c r="A39" s="12"/>
      <c r="B39" s="2" t="s">
        <v>42</v>
      </c>
      <c r="C39" s="13" t="s">
        <v>124</v>
      </c>
      <c r="D39" s="2" t="s">
        <v>11</v>
      </c>
      <c r="E39" s="2">
        <f>IF(AND('Calcul FiberBoard'!$J$24=12, 'Calcul FiberBoard'!$U$24=12, 'Calcul FiberBoard'!$AF$24=12), 3,
IF(OR(AND('Calcul FiberBoard'!$J$24=12, 'Calcul FiberBoard'!$U$24=12),
      AND('Calcul FiberBoard'!$J$24=12, 'Calcul FiberBoard'!$AF$24=12),
      AND('Calcul FiberBoard'!$U$24=12, 'Calcul FiberBoard'!$AF$24=12)), 2,
IF(OR('Calcul FiberBoard'!$J$24=12, 'Calcul FiberBoard'!$U$24=12, 'Calcul FiberBoard'!$AF$24=12), 1, 0)))</f>
        <v>0</v>
      </c>
      <c r="F39" s="286">
        <v>265</v>
      </c>
      <c r="G39" s="33">
        <f t="shared" si="0"/>
        <v>0</v>
      </c>
      <c r="H39" s="248">
        <f t="shared" si="1"/>
        <v>0</v>
      </c>
      <c r="I39" s="5"/>
      <c r="J39" s="5"/>
      <c r="K39" s="5"/>
      <c r="L39" s="5"/>
      <c r="M39" s="5"/>
      <c r="N39" s="5"/>
      <c r="O39" s="5"/>
      <c r="P39" s="5"/>
    </row>
    <row r="40" spans="1:17" ht="50.1" customHeight="1" thickBot="1">
      <c r="A40" s="12"/>
      <c r="B40" s="2" t="s">
        <v>43</v>
      </c>
      <c r="C40" s="13" t="s">
        <v>125</v>
      </c>
      <c r="D40" s="2" t="s">
        <v>11</v>
      </c>
      <c r="E40" s="2">
        <f>IF(AND('Calcul FiberBoard'!$J$24=13, 'Calcul FiberBoard'!$U$24=13, 'Calcul FiberBoard'!$AF$24=13), 3,
IF(OR(AND('Calcul FiberBoard'!$J$24=13, 'Calcul FiberBoard'!$U$24=13),
      AND('Calcul FiberBoard'!$J$24=13, 'Calcul FiberBoard'!$AF$24=13),
      AND('Calcul FiberBoard'!$U$24=13, 'Calcul FiberBoard'!$AF$24=13)), 2,
IF(OR('Calcul FiberBoard'!$J$24=13, 'Calcul FiberBoard'!$U$24=13, 'Calcul FiberBoard'!$AF$24=13), 1, 0)))</f>
        <v>0</v>
      </c>
      <c r="F40" s="286">
        <v>283</v>
      </c>
      <c r="G40" s="33">
        <f t="shared" si="0"/>
        <v>0</v>
      </c>
      <c r="H40" s="248">
        <f t="shared" si="1"/>
        <v>0</v>
      </c>
      <c r="I40" s="5"/>
      <c r="J40" s="5"/>
      <c r="K40" s="5"/>
      <c r="L40" s="5"/>
      <c r="M40" s="5"/>
      <c r="N40" s="5"/>
      <c r="O40" s="5"/>
      <c r="P40" s="5"/>
    </row>
    <row r="41" spans="1:17" ht="50.1" customHeight="1" thickBot="1">
      <c r="A41" s="12"/>
      <c r="B41" s="2" t="s">
        <v>44</v>
      </c>
      <c r="C41" s="13" t="s">
        <v>126</v>
      </c>
      <c r="D41" s="2" t="s">
        <v>11</v>
      </c>
      <c r="E41" s="2">
        <f>IF(AND('Calcul FiberBoard'!$J$24=14, 'Calcul FiberBoard'!$U$24=14, 'Calcul FiberBoard'!$AF$24=14), 3,
IF(OR(AND('Calcul FiberBoard'!$J$24=14, 'Calcul FiberBoard'!$U$24=14),
      AND('Calcul FiberBoard'!$J$24=14, 'Calcul FiberBoard'!$AF$24=14),
      AND('Calcul FiberBoard'!$U$24=14, 'Calcul FiberBoard'!$AF$24=14)), 2,
IF(OR('Calcul FiberBoard'!$J$24=14, 'Calcul FiberBoard'!$U$24=14, 'Calcul FiberBoard'!$AF$24=14), 1, 0)))</f>
        <v>0</v>
      </c>
      <c r="F41" s="286">
        <v>298</v>
      </c>
      <c r="G41" s="33">
        <f t="shared" si="0"/>
        <v>0</v>
      </c>
      <c r="H41" s="248">
        <f t="shared" si="1"/>
        <v>0</v>
      </c>
      <c r="I41" s="5"/>
      <c r="J41" s="5"/>
      <c r="K41" s="5"/>
      <c r="L41" s="5"/>
      <c r="M41" s="5"/>
      <c r="N41" s="5"/>
      <c r="O41" s="5" t="s">
        <v>185</v>
      </c>
      <c r="P41" s="5"/>
    </row>
    <row r="42" spans="1:17" ht="50.1" customHeight="1" thickBot="1">
      <c r="A42" s="12"/>
      <c r="B42" s="2" t="s">
        <v>45</v>
      </c>
      <c r="C42" s="13" t="s">
        <v>127</v>
      </c>
      <c r="D42" s="2" t="s">
        <v>11</v>
      </c>
      <c r="E42" s="2">
        <f>IF(AND('Calcul FiberBoard'!$J$24=15, 'Calcul FiberBoard'!$U$24=15, 'Calcul FiberBoard'!$AF$24=15), 3,
IF(OR(AND('Calcul FiberBoard'!$J$24=15, 'Calcul FiberBoard'!$U$24=15),
      AND('Calcul FiberBoard'!$J$24=15, 'Calcul FiberBoard'!$AF$24=15),
      AND('Calcul FiberBoard'!$U$24=15, 'Calcul FiberBoard'!$AF$24=15)), 2,
IF(OR('Calcul FiberBoard'!$J$24=15, 'Calcul FiberBoard'!$U$24=15, 'Calcul FiberBoard'!$AF$24=15), 1, 0)))</f>
        <v>0</v>
      </c>
      <c r="F42" s="286">
        <v>314</v>
      </c>
      <c r="G42" s="33">
        <f t="shared" si="0"/>
        <v>0</v>
      </c>
      <c r="H42" s="248">
        <f t="shared" si="1"/>
        <v>0</v>
      </c>
      <c r="I42" s="5"/>
      <c r="J42" s="5"/>
      <c r="K42" s="5"/>
      <c r="L42" s="5"/>
      <c r="M42" s="5"/>
      <c r="N42" s="5"/>
      <c r="O42" s="5"/>
      <c r="P42" s="5"/>
    </row>
    <row r="43" spans="1:17" ht="18" customHeight="1" thickBot="1">
      <c r="A43" s="326"/>
      <c r="B43" s="327" t="s">
        <v>129</v>
      </c>
      <c r="C43" s="328" t="s">
        <v>420</v>
      </c>
      <c r="D43" s="327" t="s">
        <v>11</v>
      </c>
      <c r="E43" s="327"/>
      <c r="F43" s="338">
        <v>54</v>
      </c>
      <c r="G43" s="329">
        <f t="shared" si="0"/>
        <v>0</v>
      </c>
      <c r="H43" s="330">
        <f t="shared" si="1"/>
        <v>0</v>
      </c>
      <c r="I43" s="331"/>
      <c r="J43" s="5"/>
      <c r="K43" s="5"/>
      <c r="L43" s="5"/>
      <c r="M43" s="5"/>
      <c r="N43" s="5"/>
      <c r="O43" s="5"/>
      <c r="P43" s="5"/>
      <c r="Q43" s="5"/>
    </row>
    <row r="44" spans="1:17" ht="18" customHeight="1" thickBot="1">
      <c r="A44" s="326"/>
      <c r="B44" s="327" t="s">
        <v>418</v>
      </c>
      <c r="C44" s="328" t="s">
        <v>419</v>
      </c>
      <c r="D44" s="327" t="s">
        <v>11</v>
      </c>
      <c r="E44" s="327"/>
      <c r="F44" s="338">
        <v>58</v>
      </c>
      <c r="G44" s="329">
        <f t="shared" si="0"/>
        <v>0</v>
      </c>
      <c r="H44" s="330">
        <f t="shared" si="1"/>
        <v>0</v>
      </c>
      <c r="I44" s="331"/>
      <c r="J44" s="5"/>
      <c r="K44" s="5"/>
      <c r="L44" s="5"/>
      <c r="M44" s="5"/>
      <c r="N44" s="5"/>
      <c r="O44" s="5"/>
      <c r="P44" s="5"/>
      <c r="Q44" s="5"/>
    </row>
    <row r="45" spans="1:17" ht="18" customHeight="1" thickBot="1">
      <c r="A45" s="12"/>
      <c r="B45" s="260" t="s">
        <v>421</v>
      </c>
      <c r="C45" s="332" t="s">
        <v>422</v>
      </c>
      <c r="D45" s="2" t="s">
        <v>11</v>
      </c>
      <c r="E45" s="297">
        <f>--OR('Sistem FiberBoard'!$J$24=2,'Sistem FiberBoard'!$J$24=3)
 +--OR('Sistem FiberBoard'!$U$24=2,'Sistem FiberBoard'!$U$24=3)
 +--OR('Sistem FiberBoard'!$AF$24=2,'Sistem FiberBoard'!$AF$24=3)</f>
        <v>0</v>
      </c>
      <c r="F45" s="286">
        <v>76</v>
      </c>
      <c r="G45" s="33">
        <f t="shared" si="0"/>
        <v>0</v>
      </c>
      <c r="H45" s="248">
        <f t="shared" si="1"/>
        <v>0</v>
      </c>
      <c r="I45" s="5"/>
      <c r="J45" s="5"/>
      <c r="K45" s="5"/>
      <c r="L45" s="5"/>
      <c r="M45" s="5"/>
      <c r="N45" s="5"/>
      <c r="O45" s="5"/>
      <c r="P45" s="5"/>
      <c r="Q45" s="5"/>
    </row>
    <row r="46" spans="1:17" ht="18" customHeight="1" thickBot="1">
      <c r="A46" s="334"/>
      <c r="B46" s="260" t="s">
        <v>412</v>
      </c>
      <c r="C46" s="332" t="s">
        <v>423</v>
      </c>
      <c r="D46" s="260" t="s">
        <v>11</v>
      </c>
      <c r="E46" s="333" cm="1">
        <f t="array" ref="E46">--OR('Sistem FiberBoard'!$J$24={4,5,6,7})
 +--OR('Sistem FiberBoard'!$U$24={4,5,6,7})
 +--OR('Sistem FiberBoard'!$AF$24={4,5,6,7})</f>
        <v>0</v>
      </c>
      <c r="F46" s="339">
        <v>82</v>
      </c>
      <c r="G46" s="335">
        <f t="shared" si="0"/>
        <v>0</v>
      </c>
      <c r="H46" s="330">
        <f t="shared" si="1"/>
        <v>0</v>
      </c>
      <c r="I46" s="331"/>
      <c r="J46" s="5"/>
      <c r="K46" s="5"/>
      <c r="L46" s="5"/>
      <c r="M46" s="5"/>
      <c r="N46" s="5"/>
      <c r="O46" s="5"/>
      <c r="P46" s="5"/>
      <c r="Q46" s="5"/>
    </row>
    <row r="47" spans="1:17" ht="18" customHeight="1" thickBot="1">
      <c r="A47" s="334"/>
      <c r="B47" s="260" t="s">
        <v>130</v>
      </c>
      <c r="C47" s="332" t="s">
        <v>424</v>
      </c>
      <c r="D47" s="260" t="s">
        <v>11</v>
      </c>
      <c r="E47" s="333" cm="1">
        <f t="array" ref="E47">--OR('Sistem FiberBoard'!$J$24={8,9,10,11})
 +--OR('Sistem FiberBoard'!$U$24={8,9,10,11})
 +--OR('Sistem FiberBoard'!$AF$24={8,9,10,11})</f>
        <v>0</v>
      </c>
      <c r="F47" s="339">
        <v>96</v>
      </c>
      <c r="G47" s="335">
        <f t="shared" si="0"/>
        <v>0</v>
      </c>
      <c r="H47" s="330">
        <f t="shared" si="1"/>
        <v>0</v>
      </c>
      <c r="I47" s="331"/>
      <c r="J47" s="5"/>
      <c r="K47" s="5"/>
      <c r="L47" s="5"/>
      <c r="M47" s="5"/>
      <c r="N47" s="5"/>
      <c r="O47" s="5"/>
      <c r="P47" s="5"/>
      <c r="Q47" s="5"/>
    </row>
    <row r="48" spans="1:17" ht="18" customHeight="1" thickBot="1">
      <c r="A48" s="334"/>
      <c r="B48" s="260" t="s">
        <v>131</v>
      </c>
      <c r="C48" s="332" t="s">
        <v>425</v>
      </c>
      <c r="D48" s="260" t="s">
        <v>11</v>
      </c>
      <c r="E48" s="333" cm="1">
        <f t="array" ref="E48">--OR('Sistem FiberBoard'!$J$24={12,13})
 +--OR('Sistem FiberBoard'!$U$24={12,13})
 +--OR('Sistem FiberBoard'!$AF$24={12,13})</f>
        <v>0</v>
      </c>
      <c r="F48" s="339">
        <v>102</v>
      </c>
      <c r="G48" s="335">
        <f t="shared" si="0"/>
        <v>0</v>
      </c>
      <c r="H48" s="330">
        <f t="shared" si="1"/>
        <v>0</v>
      </c>
      <c r="I48" s="331"/>
      <c r="J48" s="5"/>
      <c r="K48" s="5"/>
      <c r="L48" s="5"/>
      <c r="M48" s="5"/>
      <c r="N48" s="5"/>
      <c r="O48" s="5"/>
      <c r="P48" s="5"/>
      <c r="Q48" s="5"/>
    </row>
    <row r="49" spans="1:17" ht="18" customHeight="1" thickBot="1">
      <c r="A49" s="334"/>
      <c r="B49" s="260" t="s">
        <v>325</v>
      </c>
      <c r="C49" s="332" t="s">
        <v>426</v>
      </c>
      <c r="D49" s="260" t="s">
        <v>11</v>
      </c>
      <c r="E49" s="333" cm="1">
        <f t="array" ref="E49">--OR('Sistem FiberBoard'!$J$24={14,15})
 +--OR('Sistem FiberBoard'!$U$24={14,15})
 +--OR('Sistem FiberBoard'!$AF$24={14,15})</f>
        <v>0</v>
      </c>
      <c r="F49" s="339">
        <v>120</v>
      </c>
      <c r="G49" s="335">
        <f t="shared" si="0"/>
        <v>0</v>
      </c>
      <c r="H49" s="330">
        <f t="shared" si="1"/>
        <v>0</v>
      </c>
      <c r="I49" s="331"/>
      <c r="J49" s="5"/>
      <c r="K49" s="5"/>
      <c r="L49" s="5"/>
      <c r="M49" s="5"/>
      <c r="N49" s="5"/>
      <c r="O49" s="5"/>
      <c r="P49" s="5"/>
      <c r="Q49" s="5"/>
    </row>
    <row r="50" spans="1:17" ht="18" customHeight="1" thickBot="1">
      <c r="A50" s="12"/>
      <c r="B50" s="2" t="s">
        <v>368</v>
      </c>
      <c r="C50" s="13" t="s">
        <v>137</v>
      </c>
      <c r="D50" s="2" t="s">
        <v>13</v>
      </c>
      <c r="E50" s="2">
        <f>'Calcul FiberBoard'!I24</f>
        <v>0</v>
      </c>
      <c r="F50" s="286">
        <v>4</v>
      </c>
      <c r="G50" s="33">
        <f>E50*F50</f>
        <v>0</v>
      </c>
      <c r="H50" s="248">
        <f>E50</f>
        <v>0</v>
      </c>
      <c r="I50" s="5"/>
      <c r="J50" s="5"/>
      <c r="K50" s="5"/>
      <c r="L50" s="5"/>
      <c r="M50" s="5"/>
      <c r="N50" s="5"/>
      <c r="O50" s="5"/>
      <c r="P50" s="5"/>
    </row>
    <row r="51" spans="1:17" ht="18" customHeight="1" thickBot="1">
      <c r="A51" s="12"/>
      <c r="B51" s="2">
        <v>91201</v>
      </c>
      <c r="C51" s="13" t="s">
        <v>90</v>
      </c>
      <c r="D51" s="2" t="s">
        <v>13</v>
      </c>
      <c r="E51" s="2"/>
      <c r="F51" s="286">
        <v>21</v>
      </c>
      <c r="G51" s="33">
        <f>E51*F51</f>
        <v>0</v>
      </c>
      <c r="H51" s="248">
        <f>E51</f>
        <v>0</v>
      </c>
      <c r="I51" s="5"/>
      <c r="J51" s="5"/>
      <c r="K51" s="5"/>
      <c r="L51" s="5"/>
      <c r="M51" s="5"/>
      <c r="N51" s="5"/>
      <c r="O51" s="5"/>
      <c r="P51" s="5"/>
      <c r="Q51" s="5"/>
    </row>
    <row r="52" spans="1:17" ht="18" customHeight="1" thickBot="1">
      <c r="A52" s="12"/>
      <c r="B52" s="2">
        <v>91202</v>
      </c>
      <c r="C52" s="13" t="s">
        <v>180</v>
      </c>
      <c r="D52" s="2" t="s">
        <v>13</v>
      </c>
      <c r="E52" s="2"/>
      <c r="F52" s="286">
        <v>32</v>
      </c>
      <c r="G52" s="33">
        <f>E52*F52</f>
        <v>0</v>
      </c>
      <c r="H52" s="248">
        <f>E52</f>
        <v>0</v>
      </c>
      <c r="I52" s="5"/>
      <c r="J52" s="5"/>
      <c r="K52" s="5"/>
      <c r="L52" s="5"/>
      <c r="M52" s="5"/>
      <c r="N52" s="5"/>
      <c r="O52" s="5"/>
      <c r="P52" s="5"/>
      <c r="Q52" s="5"/>
    </row>
    <row r="53" spans="1:17" ht="27.9" customHeight="1" thickBot="1">
      <c r="A53" s="12"/>
      <c r="B53" s="2">
        <v>91203</v>
      </c>
      <c r="C53" s="13" t="s">
        <v>181</v>
      </c>
      <c r="D53" s="2" t="s">
        <v>13</v>
      </c>
      <c r="E53" s="2"/>
      <c r="F53" s="286">
        <v>49</v>
      </c>
      <c r="G53" s="33">
        <f>E53*F53</f>
        <v>0</v>
      </c>
      <c r="H53" s="248">
        <f>E53</f>
        <v>0</v>
      </c>
      <c r="I53" s="5"/>
      <c r="J53" s="5"/>
      <c r="K53" s="5"/>
      <c r="L53" s="5"/>
      <c r="M53" s="5"/>
      <c r="N53" s="5"/>
      <c r="O53" s="5"/>
      <c r="P53" s="5"/>
      <c r="Q53" s="5"/>
    </row>
    <row r="54" spans="1:17" ht="27.9" customHeight="1" thickBot="1">
      <c r="A54" s="35"/>
      <c r="B54" s="36" t="s">
        <v>128</v>
      </c>
      <c r="C54" s="37" t="s">
        <v>427</v>
      </c>
      <c r="D54" s="36" t="s">
        <v>11</v>
      </c>
      <c r="E54" s="135">
        <f>IF(AND('Calcul FiberBoard'!$J$24&gt;0, 'Calcul FiberBoard'!$U$24&gt;0, 'Calcul FiberBoard'!$AF$24&gt;0), 3,
    IF(OR(AND('Calcul FiberBoard'!$J$24&gt;0, 'Calcul FiberBoard'!$U$24&gt;0),
          AND('Calcul FiberBoard'!$J$24&gt;0, 'Calcul FiberBoard'!$AF$24&gt;0),
          AND('Calcul FiberBoard'!$U$24&gt;0, 'Calcul FiberBoard'!$AF$24&gt;0)), 2,
    IF(OR('Calcul FiberBoard'!$J$24&gt;0, 'Calcul FiberBoard'!$U$24&gt;0, 'Calcul FiberBoard'!$AF$24&gt;0), 1, 0)))</f>
        <v>0</v>
      </c>
      <c r="F54" s="303">
        <v>342</v>
      </c>
      <c r="G54" s="38">
        <f t="shared" si="0"/>
        <v>0</v>
      </c>
      <c r="H54" s="248">
        <f t="shared" si="1"/>
        <v>0</v>
      </c>
      <c r="I54" s="5"/>
      <c r="J54" s="5"/>
      <c r="K54" s="5"/>
      <c r="L54" s="5"/>
      <c r="M54" s="5"/>
      <c r="N54" s="5"/>
      <c r="O54" s="5"/>
      <c r="P54" s="5"/>
    </row>
    <row r="55" spans="1:17" ht="18.75" customHeight="1" thickTop="1" thickBot="1">
      <c r="A55" s="522" t="s">
        <v>25</v>
      </c>
      <c r="B55" s="523"/>
      <c r="C55" s="523"/>
      <c r="D55" s="523"/>
      <c r="E55" s="42"/>
      <c r="F55" s="153"/>
      <c r="G55" s="176">
        <f>SUM(G22:G54)</f>
        <v>0</v>
      </c>
      <c r="H55" s="249">
        <f>G55</f>
        <v>0</v>
      </c>
      <c r="I55" s="5"/>
      <c r="J55" s="5"/>
      <c r="K55" s="5"/>
      <c r="L55" s="5"/>
      <c r="M55" s="5"/>
      <c r="N55" s="5"/>
      <c r="O55" s="5"/>
      <c r="P55" s="5"/>
    </row>
    <row r="56" spans="1:17" ht="18.75" customHeight="1" thickTop="1" thickBot="1">
      <c r="A56" s="522" t="s">
        <v>156</v>
      </c>
      <c r="B56" s="523"/>
      <c r="C56" s="523"/>
      <c r="D56" s="523"/>
      <c r="E56" s="304">
        <v>0.05</v>
      </c>
      <c r="F56" s="10"/>
      <c r="G56" s="48">
        <f>G55*(1-E56)</f>
        <v>0</v>
      </c>
      <c r="H56" s="249">
        <f>G56</f>
        <v>0</v>
      </c>
      <c r="I56" s="5"/>
      <c r="J56" s="5"/>
      <c r="K56" s="5"/>
      <c r="L56" s="5"/>
      <c r="M56" s="5"/>
      <c r="N56" s="5"/>
      <c r="O56" s="5"/>
      <c r="P56" s="5"/>
    </row>
    <row r="57" spans="1:17" ht="18.75" customHeight="1" thickTop="1" thickBot="1">
      <c r="A57" s="522" t="s">
        <v>143</v>
      </c>
      <c r="B57" s="523"/>
      <c r="C57" s="523"/>
      <c r="D57" s="523"/>
      <c r="E57" s="42"/>
      <c r="F57" s="43"/>
      <c r="G57" s="48">
        <f>G56*1.21</f>
        <v>0</v>
      </c>
      <c r="H57" s="249">
        <f>G57</f>
        <v>0</v>
      </c>
      <c r="I57" s="5"/>
      <c r="J57" s="5"/>
      <c r="K57" s="5"/>
      <c r="L57" s="5"/>
      <c r="M57" s="5"/>
      <c r="N57" s="5"/>
      <c r="O57" s="5"/>
      <c r="P57" s="5"/>
    </row>
    <row r="58" spans="1:17" ht="16.5" customHeight="1" thickTop="1">
      <c r="A58" s="14"/>
      <c r="B58" s="15"/>
      <c r="C58" s="15"/>
      <c r="D58" s="15"/>
      <c r="E58" s="15"/>
      <c r="F58" s="15"/>
      <c r="G58" s="15"/>
      <c r="H58" s="250"/>
      <c r="I58" s="5"/>
      <c r="J58" s="5"/>
      <c r="K58" s="5"/>
      <c r="L58" s="5"/>
      <c r="M58" s="5"/>
      <c r="N58" s="5"/>
      <c r="O58" s="5"/>
      <c r="P58" s="5"/>
    </row>
    <row r="59" spans="1:17" ht="15" customHeight="1">
      <c r="A59" s="14"/>
      <c r="B59" s="15"/>
      <c r="C59" s="15"/>
      <c r="D59" s="15"/>
      <c r="E59" s="15"/>
      <c r="F59" s="15"/>
      <c r="G59" s="15"/>
      <c r="H59" s="250" t="s">
        <v>83</v>
      </c>
      <c r="I59" s="5"/>
      <c r="J59" s="5"/>
      <c r="K59" s="5"/>
      <c r="L59" s="5"/>
      <c r="M59" s="5"/>
      <c r="N59" s="5"/>
      <c r="O59" s="5"/>
      <c r="P59" s="5"/>
    </row>
    <row r="60" spans="1:17" ht="15" customHeight="1">
      <c r="A60" s="14"/>
      <c r="B60" s="15"/>
      <c r="C60" s="15"/>
      <c r="D60" s="15"/>
      <c r="E60" s="15"/>
      <c r="F60" s="15"/>
      <c r="G60" s="15"/>
      <c r="H60" s="250"/>
      <c r="I60" s="5"/>
      <c r="J60" s="5"/>
      <c r="K60" s="5"/>
      <c r="L60" s="5"/>
      <c r="M60" s="5"/>
      <c r="N60" s="5"/>
      <c r="O60" s="5"/>
      <c r="P60" s="5"/>
    </row>
    <row r="61" spans="1:17" ht="13.5" customHeight="1">
      <c r="A61" s="193"/>
      <c r="B61" s="193"/>
      <c r="C61" s="193"/>
      <c r="D61" s="193"/>
      <c r="E61" s="193"/>
      <c r="F61" s="193"/>
      <c r="G61" s="193"/>
      <c r="H61" s="251"/>
      <c r="I61" s="5"/>
      <c r="J61" s="5"/>
      <c r="K61" s="5"/>
      <c r="L61" s="5"/>
      <c r="M61" s="5"/>
      <c r="N61" s="5"/>
      <c r="O61" s="5"/>
      <c r="P61" s="5"/>
    </row>
    <row r="62" spans="1:17" ht="18.75" customHeight="1">
      <c r="A62" s="541" t="s">
        <v>287</v>
      </c>
      <c r="B62" s="541"/>
      <c r="C62" s="541"/>
      <c r="D62" s="541"/>
      <c r="E62" s="541"/>
      <c r="F62" s="541"/>
      <c r="G62" s="541"/>
      <c r="H62" s="250">
        <f>SUM(H70:H105)</f>
        <v>0</v>
      </c>
      <c r="I62" s="5"/>
      <c r="J62" s="5"/>
      <c r="K62" s="5"/>
      <c r="L62" s="5" t="s">
        <v>184</v>
      </c>
      <c r="M62" s="5"/>
      <c r="N62" s="5"/>
      <c r="O62" s="5"/>
      <c r="P62" s="5"/>
    </row>
    <row r="63" spans="1:17" ht="18.75" customHeight="1">
      <c r="A63" s="72"/>
      <c r="B63" s="72"/>
      <c r="C63" s="72"/>
      <c r="D63" s="72"/>
      <c r="E63" s="72"/>
      <c r="F63" s="72"/>
      <c r="G63" s="72"/>
      <c r="H63" s="250"/>
      <c r="I63" s="5"/>
      <c r="J63" s="5"/>
      <c r="K63" s="5"/>
      <c r="L63" s="5"/>
      <c r="M63" s="5"/>
      <c r="N63" s="5"/>
      <c r="O63" s="5"/>
      <c r="P63" s="5"/>
    </row>
    <row r="64" spans="1:17" ht="18" customHeight="1">
      <c r="A64" s="533" t="s">
        <v>26</v>
      </c>
      <c r="B64" s="533"/>
      <c r="C64" s="533"/>
      <c r="D64" s="533"/>
      <c r="E64" s="533"/>
      <c r="F64" s="533"/>
      <c r="G64" s="533"/>
      <c r="H64" s="250">
        <f>G81</f>
        <v>0</v>
      </c>
      <c r="I64" s="5"/>
      <c r="J64" s="5"/>
      <c r="K64" s="5"/>
      <c r="L64" s="5"/>
      <c r="M64" s="5"/>
      <c r="N64" s="5"/>
      <c r="O64" s="5"/>
      <c r="P64" s="5"/>
    </row>
    <row r="65" spans="1:23">
      <c r="A65" s="544"/>
      <c r="B65" s="544"/>
      <c r="C65" s="544"/>
      <c r="D65" s="544"/>
      <c r="E65" s="544"/>
      <c r="F65" s="544"/>
      <c r="G65" s="544"/>
      <c r="H65" s="249">
        <f>G81</f>
        <v>0</v>
      </c>
      <c r="I65" s="5"/>
      <c r="J65" s="5"/>
      <c r="K65" s="5"/>
      <c r="L65" s="5"/>
      <c r="M65" s="5"/>
      <c r="N65" s="5"/>
      <c r="O65" s="5"/>
      <c r="P65" s="5"/>
    </row>
    <row r="66" spans="1:23" ht="15.75" customHeight="1" thickBot="1">
      <c r="A66" s="16"/>
      <c r="B66" s="15"/>
      <c r="C66" s="15"/>
      <c r="D66" s="15"/>
      <c r="E66" s="15"/>
      <c r="F66" s="15"/>
      <c r="G66" s="15"/>
      <c r="H66" s="249">
        <f>G81</f>
        <v>0</v>
      </c>
      <c r="I66" s="5"/>
      <c r="J66" s="5"/>
      <c r="K66" s="5"/>
      <c r="L66" s="5"/>
      <c r="M66" s="5"/>
      <c r="N66" s="5"/>
      <c r="O66" s="5"/>
      <c r="P66" s="5"/>
    </row>
    <row r="67" spans="1:23" ht="18.75" customHeight="1" thickTop="1">
      <c r="A67" s="6" t="s">
        <v>1</v>
      </c>
      <c r="B67" s="518" t="s">
        <v>3</v>
      </c>
      <c r="C67" s="518" t="s">
        <v>4</v>
      </c>
      <c r="D67" s="518" t="s">
        <v>5</v>
      </c>
      <c r="E67" s="518" t="s">
        <v>6</v>
      </c>
      <c r="F67" s="7" t="s">
        <v>7</v>
      </c>
      <c r="G67" s="8" t="s">
        <v>9</v>
      </c>
      <c r="H67" s="249">
        <f>G81</f>
        <v>0</v>
      </c>
      <c r="I67" s="5"/>
      <c r="J67" s="5"/>
      <c r="K67" s="5"/>
      <c r="L67" s="5"/>
      <c r="M67" s="5"/>
      <c r="N67" s="5"/>
      <c r="O67" s="5"/>
      <c r="P67" s="5"/>
    </row>
    <row r="68" spans="1:23" ht="24" customHeight="1" thickBot="1">
      <c r="A68" s="17" t="s">
        <v>2</v>
      </c>
      <c r="B68" s="527"/>
      <c r="C68" s="527"/>
      <c r="D68" s="527"/>
      <c r="E68" s="527"/>
      <c r="F68" s="18" t="s">
        <v>8</v>
      </c>
      <c r="G68" s="19" t="s">
        <v>8</v>
      </c>
      <c r="H68" s="249">
        <f>G81</f>
        <v>0</v>
      </c>
      <c r="I68" s="5"/>
      <c r="J68" s="5"/>
      <c r="K68" s="5"/>
      <c r="L68" s="5"/>
      <c r="M68" s="5"/>
      <c r="N68" s="5"/>
      <c r="O68" s="5"/>
      <c r="P68" s="5"/>
    </row>
    <row r="69" spans="1:23" ht="18" customHeight="1" thickTop="1" thickBot="1">
      <c r="A69" s="571" t="s">
        <v>27</v>
      </c>
      <c r="B69" s="578"/>
      <c r="C69" s="578"/>
      <c r="D69" s="165"/>
      <c r="E69" s="165"/>
      <c r="F69" s="165"/>
      <c r="G69" s="153"/>
      <c r="H69" s="248">
        <f>SUM(H70:H72)</f>
        <v>0</v>
      </c>
      <c r="I69" s="5"/>
      <c r="J69" s="5"/>
      <c r="K69" s="5"/>
      <c r="L69" s="5"/>
      <c r="M69" s="5"/>
      <c r="N69" s="5"/>
      <c r="O69" s="5"/>
      <c r="P69" s="5"/>
      <c r="R69" s="5"/>
      <c r="S69" s="5"/>
      <c r="T69" s="5"/>
      <c r="U69" s="5"/>
      <c r="V69" s="5"/>
      <c r="W69" s="5"/>
    </row>
    <row r="70" spans="1:23" ht="27.9" customHeight="1" thickTop="1" thickBot="1">
      <c r="A70" s="12"/>
      <c r="B70" s="3" t="s">
        <v>28</v>
      </c>
      <c r="C70" s="13" t="s">
        <v>182</v>
      </c>
      <c r="D70" s="3" t="s">
        <v>11</v>
      </c>
      <c r="E70" s="3">
        <f>'Calcul FiberBoard'!K22</f>
        <v>0</v>
      </c>
      <c r="F70" s="287">
        <v>179</v>
      </c>
      <c r="G70" s="33">
        <f>E70*F70</f>
        <v>0</v>
      </c>
      <c r="H70" s="248">
        <f>E70</f>
        <v>0</v>
      </c>
      <c r="I70" s="5"/>
      <c r="J70" s="5"/>
      <c r="K70" s="5"/>
      <c r="L70" s="5"/>
      <c r="M70" s="5"/>
      <c r="N70" s="5"/>
      <c r="O70" s="5"/>
      <c r="P70" s="5"/>
    </row>
    <row r="71" spans="1:23" ht="18" customHeight="1" thickBot="1">
      <c r="A71" s="12"/>
      <c r="B71" s="3" t="s">
        <v>29</v>
      </c>
      <c r="C71" s="13" t="s">
        <v>30</v>
      </c>
      <c r="D71" s="3" t="s">
        <v>11</v>
      </c>
      <c r="E71" s="212">
        <f>'Calcul FiberBoard'!H24</f>
        <v>0</v>
      </c>
      <c r="F71" s="286">
        <v>17</v>
      </c>
      <c r="G71" s="33">
        <f t="shared" ref="G71:G76" si="2">E71*F71</f>
        <v>0</v>
      </c>
      <c r="H71" s="248">
        <f t="shared" ref="H71:H76" si="3">E71</f>
        <v>0</v>
      </c>
      <c r="I71" s="5"/>
      <c r="J71" s="5"/>
      <c r="K71" s="5"/>
      <c r="L71" s="5"/>
      <c r="M71" s="5"/>
      <c r="N71" s="5"/>
      <c r="O71" s="5"/>
      <c r="P71" s="5"/>
    </row>
    <row r="72" spans="1:23" ht="18" customHeight="1" thickBot="1">
      <c r="A72" s="35"/>
      <c r="B72" s="40" t="s">
        <v>31</v>
      </c>
      <c r="C72" s="37" t="s">
        <v>183</v>
      </c>
      <c r="D72" s="40" t="s">
        <v>11</v>
      </c>
      <c r="E72" s="40">
        <f>IF(OR('Calcul FiberBoard'!J22=0),0,'Calcul FiberBoard'!J22-1)</f>
        <v>0</v>
      </c>
      <c r="F72" s="288">
        <v>41</v>
      </c>
      <c r="G72" s="38">
        <f t="shared" si="2"/>
        <v>0</v>
      </c>
      <c r="H72" s="248">
        <f t="shared" si="3"/>
        <v>0</v>
      </c>
      <c r="I72" s="5"/>
      <c r="J72" s="5"/>
      <c r="K72" s="5"/>
      <c r="L72" s="5"/>
      <c r="M72" s="5"/>
      <c r="N72" s="5"/>
      <c r="O72" s="5"/>
      <c r="P72" s="5"/>
    </row>
    <row r="73" spans="1:23" ht="18" customHeight="1" thickTop="1" thickBot="1">
      <c r="A73" s="571" t="s">
        <v>326</v>
      </c>
      <c r="B73" s="572"/>
      <c r="C73" s="572"/>
      <c r="D73" s="165"/>
      <c r="E73" s="165"/>
      <c r="F73" s="14"/>
      <c r="G73" s="166"/>
      <c r="H73" s="248">
        <f>SUM(H74:H76)</f>
        <v>0</v>
      </c>
      <c r="I73" s="5"/>
      <c r="J73" s="5"/>
      <c r="K73" s="5"/>
      <c r="L73" s="5"/>
      <c r="M73" s="5"/>
      <c r="N73" s="5"/>
      <c r="O73" s="5"/>
      <c r="P73" s="5"/>
    </row>
    <row r="74" spans="1:23" ht="27.9" customHeight="1" thickTop="1" thickBot="1">
      <c r="A74" s="12"/>
      <c r="B74" s="3" t="s">
        <v>28</v>
      </c>
      <c r="C74" s="13" t="s">
        <v>182</v>
      </c>
      <c r="D74" s="3" t="s">
        <v>11</v>
      </c>
      <c r="E74" s="3">
        <f>'Calcul FiberBoard'!V22</f>
        <v>0</v>
      </c>
      <c r="F74" s="287">
        <v>179</v>
      </c>
      <c r="G74" s="33">
        <f t="shared" si="2"/>
        <v>0</v>
      </c>
      <c r="H74" s="248">
        <f t="shared" si="3"/>
        <v>0</v>
      </c>
      <c r="I74" s="5"/>
      <c r="J74" s="5"/>
      <c r="K74" s="5"/>
      <c r="L74" s="5"/>
      <c r="M74" s="5"/>
      <c r="N74" s="5"/>
      <c r="O74" s="5"/>
      <c r="P74" s="5"/>
    </row>
    <row r="75" spans="1:23" ht="18" customHeight="1" thickBot="1">
      <c r="A75" s="12"/>
      <c r="B75" s="3" t="s">
        <v>29</v>
      </c>
      <c r="C75" s="13" t="s">
        <v>30</v>
      </c>
      <c r="D75" s="3" t="s">
        <v>11</v>
      </c>
      <c r="E75" s="3">
        <f>'Calcul FiberBoard'!S24</f>
        <v>0</v>
      </c>
      <c r="F75" s="286">
        <v>17</v>
      </c>
      <c r="G75" s="33">
        <f t="shared" si="2"/>
        <v>0</v>
      </c>
      <c r="H75" s="248">
        <f t="shared" si="3"/>
        <v>0</v>
      </c>
      <c r="I75" s="5"/>
      <c r="J75" s="5"/>
      <c r="K75" s="5"/>
      <c r="L75" s="5"/>
      <c r="M75" s="5"/>
      <c r="N75" s="5"/>
      <c r="O75" s="5"/>
      <c r="P75" s="5"/>
    </row>
    <row r="76" spans="1:23" ht="18" customHeight="1" thickBot="1">
      <c r="A76" s="35"/>
      <c r="B76" s="40" t="s">
        <v>31</v>
      </c>
      <c r="C76" s="37" t="s">
        <v>183</v>
      </c>
      <c r="D76" s="40" t="s">
        <v>11</v>
      </c>
      <c r="E76" s="40">
        <f>IF(OR('Calcul FiberBoard'!U22=0),0,'Calcul FiberBoard'!U22-1)</f>
        <v>0</v>
      </c>
      <c r="F76" s="288">
        <v>41</v>
      </c>
      <c r="G76" s="38">
        <f t="shared" si="2"/>
        <v>0</v>
      </c>
      <c r="H76" s="248">
        <f t="shared" si="3"/>
        <v>0</v>
      </c>
      <c r="I76" s="5"/>
      <c r="J76" s="5"/>
      <c r="K76" s="5"/>
      <c r="L76" s="5"/>
      <c r="M76" s="5"/>
      <c r="N76" s="5"/>
      <c r="O76" s="5"/>
      <c r="P76" s="5"/>
    </row>
    <row r="77" spans="1:23" ht="18" customHeight="1" thickTop="1" thickBot="1">
      <c r="A77" s="571" t="s">
        <v>32</v>
      </c>
      <c r="B77" s="572"/>
      <c r="C77" s="572"/>
      <c r="D77" s="165"/>
      <c r="E77" s="165"/>
      <c r="F77" s="14"/>
      <c r="G77" s="166"/>
      <c r="H77" s="248">
        <f>SUM(H78:H80)</f>
        <v>0</v>
      </c>
      <c r="I77" s="5"/>
      <c r="J77" s="5"/>
      <c r="K77" s="5"/>
      <c r="L77" s="5"/>
      <c r="M77" s="5"/>
      <c r="N77" s="5"/>
      <c r="O77" s="5"/>
      <c r="P77" s="5"/>
    </row>
    <row r="78" spans="1:23" ht="25.5" customHeight="1" thickTop="1" thickBot="1">
      <c r="A78" s="12"/>
      <c r="B78" s="3" t="s">
        <v>28</v>
      </c>
      <c r="C78" s="13" t="s">
        <v>182</v>
      </c>
      <c r="D78" s="3" t="s">
        <v>11</v>
      </c>
      <c r="E78" s="3">
        <f>'Calcul FiberBoard'!AG22</f>
        <v>0</v>
      </c>
      <c r="F78" s="287">
        <v>179</v>
      </c>
      <c r="G78" s="33">
        <f>E78*F78</f>
        <v>0</v>
      </c>
      <c r="H78" s="248">
        <f>E78</f>
        <v>0</v>
      </c>
      <c r="I78" s="5"/>
      <c r="J78" s="5"/>
      <c r="K78" s="5"/>
      <c r="L78" s="5"/>
      <c r="M78" s="5"/>
      <c r="N78" s="5"/>
      <c r="O78" s="5"/>
      <c r="P78" s="5"/>
    </row>
    <row r="79" spans="1:23" ht="18" customHeight="1" thickBot="1">
      <c r="A79" s="12"/>
      <c r="B79" s="3" t="s">
        <v>29</v>
      </c>
      <c r="C79" s="13" t="s">
        <v>30</v>
      </c>
      <c r="D79" s="3" t="s">
        <v>11</v>
      </c>
      <c r="E79" s="3">
        <f>'Calcul FiberBoard'!AD24</f>
        <v>0</v>
      </c>
      <c r="F79" s="286">
        <v>17</v>
      </c>
      <c r="G79" s="33">
        <f>E79*F79</f>
        <v>0</v>
      </c>
      <c r="H79" s="248">
        <f>E79</f>
        <v>0</v>
      </c>
      <c r="I79" s="5"/>
      <c r="J79" s="5"/>
      <c r="K79" s="5"/>
      <c r="L79" s="5"/>
      <c r="M79" s="5"/>
      <c r="N79" s="5"/>
      <c r="O79" s="5"/>
      <c r="P79" s="5"/>
    </row>
    <row r="80" spans="1:23" ht="18" customHeight="1" thickBot="1">
      <c r="A80" s="161"/>
      <c r="B80" s="162" t="s">
        <v>31</v>
      </c>
      <c r="C80" s="163" t="s">
        <v>183</v>
      </c>
      <c r="D80" s="162" t="s">
        <v>11</v>
      </c>
      <c r="E80" s="162">
        <f>IF(OR('Calcul FiberBoard'!AF22=0),0,'Calcul FiberBoard'!AF22-1)</f>
        <v>0</v>
      </c>
      <c r="F80" s="288">
        <v>41</v>
      </c>
      <c r="G80" s="164">
        <f>E80*F80</f>
        <v>0</v>
      </c>
      <c r="H80" s="248">
        <f>E80</f>
        <v>0</v>
      </c>
      <c r="I80" s="5"/>
      <c r="J80" s="5"/>
      <c r="K80" s="5"/>
      <c r="L80" s="5"/>
      <c r="M80" s="5"/>
      <c r="N80" s="5"/>
      <c r="O80" s="5"/>
      <c r="P80" s="5"/>
    </row>
    <row r="81" spans="1:16" ht="18" customHeight="1" thickTop="1" thickBot="1">
      <c r="A81" s="522" t="s">
        <v>25</v>
      </c>
      <c r="B81" s="523"/>
      <c r="C81" s="523"/>
      <c r="D81" s="523"/>
      <c r="E81" s="523"/>
      <c r="F81" s="546"/>
      <c r="G81" s="96">
        <f>SUM(G70:G80)</f>
        <v>0</v>
      </c>
      <c r="H81" s="251">
        <f>G81</f>
        <v>0</v>
      </c>
      <c r="I81" s="5"/>
      <c r="J81" s="5"/>
      <c r="K81" s="5"/>
      <c r="L81" s="5"/>
      <c r="M81" s="5"/>
      <c r="N81" s="5"/>
      <c r="O81" s="5"/>
      <c r="P81" s="5"/>
    </row>
    <row r="82" spans="1:16" ht="18" customHeight="1" thickTop="1" thickBot="1">
      <c r="A82" s="522" t="s">
        <v>157</v>
      </c>
      <c r="B82" s="523"/>
      <c r="C82" s="523"/>
      <c r="D82" s="523"/>
      <c r="E82" s="47">
        <v>0.05</v>
      </c>
      <c r="F82" s="42"/>
      <c r="G82" s="98">
        <f>G81*(1-E82)</f>
        <v>0</v>
      </c>
      <c r="H82" s="251">
        <f>G82</f>
        <v>0</v>
      </c>
      <c r="I82" s="5"/>
      <c r="J82" s="5"/>
      <c r="K82" s="5"/>
      <c r="L82" s="5"/>
      <c r="M82" s="5"/>
      <c r="N82" s="5"/>
      <c r="O82" s="5"/>
      <c r="P82" s="5"/>
    </row>
    <row r="83" spans="1:16" ht="18" customHeight="1" thickTop="1" thickBot="1">
      <c r="A83" s="547" t="s">
        <v>143</v>
      </c>
      <c r="B83" s="548"/>
      <c r="C83" s="548"/>
      <c r="D83" s="548"/>
      <c r="E83" s="548"/>
      <c r="F83" s="548"/>
      <c r="G83" s="99">
        <f>G82*1.21</f>
        <v>0</v>
      </c>
      <c r="H83" s="251">
        <f>G83</f>
        <v>0</v>
      </c>
      <c r="I83" s="5"/>
      <c r="J83" s="5"/>
      <c r="K83" s="5"/>
      <c r="L83" s="5"/>
      <c r="M83" s="5"/>
      <c r="N83" s="5"/>
      <c r="O83" s="5"/>
      <c r="P83" s="5"/>
    </row>
    <row r="84" spans="1:16" ht="18" customHeight="1" thickTop="1">
      <c r="A84" s="53"/>
      <c r="B84" s="53"/>
      <c r="C84" s="53"/>
      <c r="D84" s="53"/>
      <c r="E84" s="53"/>
      <c r="F84" s="53"/>
      <c r="G84" s="218"/>
      <c r="H84" s="251"/>
      <c r="I84" s="5"/>
      <c r="J84" s="5"/>
      <c r="K84" s="5"/>
      <c r="L84" s="5"/>
      <c r="M84" s="5"/>
      <c r="N84" s="5"/>
      <c r="O84" s="5"/>
      <c r="P84" s="5"/>
    </row>
    <row r="85" spans="1:16" ht="18.75" customHeight="1">
      <c r="A85" s="14"/>
      <c r="B85" s="15"/>
      <c r="C85" s="15"/>
      <c r="D85" s="15"/>
      <c r="E85" s="15"/>
      <c r="F85" s="15"/>
      <c r="G85" s="15"/>
      <c r="H85" s="251">
        <f>G103</f>
        <v>0</v>
      </c>
      <c r="I85" s="5"/>
      <c r="J85" s="5"/>
      <c r="K85" s="5"/>
      <c r="L85" s="5"/>
      <c r="M85" s="5"/>
      <c r="N85" s="5"/>
      <c r="O85" s="5"/>
      <c r="P85" s="5"/>
    </row>
    <row r="86" spans="1:16" ht="18" customHeight="1">
      <c r="A86" s="549" t="s">
        <v>178</v>
      </c>
      <c r="B86" s="549"/>
      <c r="C86" s="549"/>
      <c r="D86" s="549"/>
      <c r="E86" s="549"/>
      <c r="F86" s="549"/>
      <c r="G86" s="549"/>
      <c r="H86" s="251">
        <f>G103</f>
        <v>0</v>
      </c>
      <c r="I86" s="5"/>
      <c r="J86" s="5"/>
      <c r="K86" s="5"/>
      <c r="L86" s="5"/>
      <c r="M86" s="5"/>
      <c r="N86" s="5"/>
      <c r="O86" s="5"/>
      <c r="P86" s="5"/>
    </row>
    <row r="87" spans="1:16" ht="15.9" customHeight="1">
      <c r="A87" s="544"/>
      <c r="B87" s="544"/>
      <c r="C87" s="544"/>
      <c r="D87" s="544"/>
      <c r="E87" s="544"/>
      <c r="F87" s="544"/>
      <c r="G87" s="544"/>
      <c r="H87" s="251">
        <f>G103</f>
        <v>0</v>
      </c>
      <c r="I87" s="5"/>
      <c r="J87" s="5"/>
      <c r="K87" s="5"/>
      <c r="L87" s="5"/>
      <c r="M87" s="5"/>
      <c r="N87" s="5"/>
      <c r="O87" s="5"/>
      <c r="P87" s="5"/>
    </row>
    <row r="88" spans="1:16" ht="15.75" customHeight="1" thickBot="1">
      <c r="A88" s="16"/>
      <c r="B88" s="15"/>
      <c r="C88" s="15"/>
      <c r="D88" s="15"/>
      <c r="E88" s="15"/>
      <c r="F88" s="15"/>
      <c r="G88" s="15"/>
      <c r="H88" s="251">
        <f>G103</f>
        <v>0</v>
      </c>
      <c r="I88" s="5"/>
      <c r="J88" s="5"/>
      <c r="K88" s="5"/>
      <c r="L88" s="5"/>
      <c r="M88" s="5"/>
      <c r="N88" s="5"/>
      <c r="O88" s="5"/>
      <c r="P88" s="5"/>
    </row>
    <row r="89" spans="1:16" ht="18" customHeight="1" thickTop="1">
      <c r="A89" s="6" t="s">
        <v>1</v>
      </c>
      <c r="B89" s="518" t="s">
        <v>3</v>
      </c>
      <c r="C89" s="518" t="s">
        <v>4</v>
      </c>
      <c r="D89" s="518" t="s">
        <v>5</v>
      </c>
      <c r="E89" s="518" t="s">
        <v>6</v>
      </c>
      <c r="F89" s="7" t="s">
        <v>7</v>
      </c>
      <c r="G89" s="8" t="s">
        <v>9</v>
      </c>
      <c r="H89" s="251">
        <f>G103</f>
        <v>0</v>
      </c>
      <c r="I89" s="5"/>
      <c r="J89" s="5"/>
      <c r="K89" s="5"/>
      <c r="L89" s="5"/>
      <c r="M89" s="5"/>
      <c r="N89" s="5"/>
      <c r="O89" s="5"/>
      <c r="P89" s="5"/>
    </row>
    <row r="90" spans="1:16" ht="27" customHeight="1" thickBot="1">
      <c r="A90" s="17" t="s">
        <v>2</v>
      </c>
      <c r="B90" s="527"/>
      <c r="C90" s="527"/>
      <c r="D90" s="527"/>
      <c r="E90" s="527"/>
      <c r="F90" s="18" t="s">
        <v>8</v>
      </c>
      <c r="G90" s="19" t="s">
        <v>8</v>
      </c>
      <c r="H90" s="251">
        <f>G103</f>
        <v>0</v>
      </c>
      <c r="I90" s="5"/>
      <c r="J90" s="5"/>
      <c r="K90" s="5"/>
      <c r="L90" s="5"/>
      <c r="M90" s="5"/>
      <c r="N90" s="5"/>
      <c r="O90" s="5"/>
      <c r="P90" s="5"/>
    </row>
    <row r="91" spans="1:16" ht="18" customHeight="1" thickTop="1" thickBot="1">
      <c r="A91" s="571" t="s">
        <v>27</v>
      </c>
      <c r="B91" s="578"/>
      <c r="C91" s="578"/>
      <c r="D91" s="165"/>
      <c r="E91" s="165"/>
      <c r="F91" s="165"/>
      <c r="G91" s="153"/>
      <c r="H91" s="248">
        <f>SUM(H92:H94)</f>
        <v>0</v>
      </c>
      <c r="I91" s="5"/>
      <c r="J91" s="5"/>
      <c r="K91" s="5"/>
      <c r="L91" s="5"/>
      <c r="M91" s="5"/>
      <c r="N91" s="5"/>
      <c r="O91" s="5"/>
      <c r="P91" s="5"/>
    </row>
    <row r="92" spans="1:16" ht="27.9" customHeight="1" thickTop="1" thickBot="1">
      <c r="A92" s="12"/>
      <c r="B92" s="3" t="s">
        <v>376</v>
      </c>
      <c r="C92" s="13" t="s">
        <v>379</v>
      </c>
      <c r="D92" s="3" t="s">
        <v>11</v>
      </c>
      <c r="E92" s="3">
        <f>'Calcul FiberBoard'!K22</f>
        <v>0</v>
      </c>
      <c r="F92" s="287">
        <v>229</v>
      </c>
      <c r="G92" s="33">
        <f>E92*F92</f>
        <v>0</v>
      </c>
      <c r="H92" s="248">
        <f>E92</f>
        <v>0</v>
      </c>
      <c r="I92" s="5"/>
      <c r="J92" s="5"/>
      <c r="K92" s="5"/>
      <c r="L92" s="5"/>
      <c r="M92" s="5"/>
      <c r="N92" s="5"/>
      <c r="O92" s="5"/>
      <c r="P92" s="5"/>
    </row>
    <row r="93" spans="1:16" ht="18" customHeight="1" thickBot="1">
      <c r="A93" s="12"/>
      <c r="B93" s="3" t="s">
        <v>29</v>
      </c>
      <c r="C93" s="13" t="s">
        <v>30</v>
      </c>
      <c r="D93" s="3" t="s">
        <v>11</v>
      </c>
      <c r="E93" s="3">
        <f>'Calcul FiberBoard'!H24</f>
        <v>0</v>
      </c>
      <c r="F93" s="286">
        <v>17</v>
      </c>
      <c r="G93" s="33">
        <f t="shared" ref="G93:G102" si="4">E93*F93</f>
        <v>0</v>
      </c>
      <c r="H93" s="248">
        <f>E93</f>
        <v>0</v>
      </c>
      <c r="I93" s="5"/>
      <c r="J93" s="5"/>
      <c r="K93" s="5"/>
      <c r="L93" s="5"/>
      <c r="M93" s="5"/>
      <c r="N93" s="5"/>
      <c r="O93" s="5"/>
      <c r="P93" s="5"/>
    </row>
    <row r="94" spans="1:16" ht="18" customHeight="1" thickBot="1">
      <c r="A94" s="35"/>
      <c r="B94" s="40" t="s">
        <v>377</v>
      </c>
      <c r="C94" s="37" t="s">
        <v>378</v>
      </c>
      <c r="D94" s="40" t="s">
        <v>11</v>
      </c>
      <c r="E94" s="40">
        <f>'Calcul FiberBoard'!J22</f>
        <v>0</v>
      </c>
      <c r="F94" s="303">
        <v>63</v>
      </c>
      <c r="G94" s="38">
        <f t="shared" si="4"/>
        <v>0</v>
      </c>
      <c r="H94" s="248">
        <f>E94</f>
        <v>0</v>
      </c>
      <c r="I94" s="5"/>
      <c r="J94" s="5"/>
      <c r="K94" s="5"/>
      <c r="L94" s="5"/>
      <c r="M94" s="5"/>
      <c r="N94" s="5"/>
      <c r="O94" s="5"/>
      <c r="P94" s="5"/>
    </row>
    <row r="95" spans="1:16" ht="18" customHeight="1" thickTop="1" thickBot="1">
      <c r="A95" s="571" t="s">
        <v>326</v>
      </c>
      <c r="B95" s="572"/>
      <c r="C95" s="572"/>
      <c r="D95" s="165"/>
      <c r="E95" s="165"/>
      <c r="F95" s="309"/>
      <c r="G95" s="166"/>
      <c r="H95" s="248">
        <f>SUM(H96:H98)</f>
        <v>0</v>
      </c>
      <c r="I95" s="5"/>
      <c r="J95" s="5"/>
      <c r="K95" s="5"/>
      <c r="L95" s="5"/>
      <c r="M95" s="5"/>
      <c r="N95" s="5"/>
      <c r="O95" s="5"/>
      <c r="P95" s="5"/>
    </row>
    <row r="96" spans="1:16" ht="27.9" customHeight="1" thickTop="1" thickBot="1">
      <c r="A96" s="12"/>
      <c r="B96" s="3" t="s">
        <v>376</v>
      </c>
      <c r="C96" s="13" t="s">
        <v>379</v>
      </c>
      <c r="D96" s="3" t="s">
        <v>11</v>
      </c>
      <c r="E96" s="3">
        <f>'Calcul FiberBoard'!V22</f>
        <v>0</v>
      </c>
      <c r="F96" s="287">
        <v>229</v>
      </c>
      <c r="G96" s="33">
        <f>E96*F96</f>
        <v>0</v>
      </c>
      <c r="H96" s="248">
        <f>E96</f>
        <v>0</v>
      </c>
      <c r="I96" s="5"/>
      <c r="J96" s="5"/>
      <c r="K96" s="5"/>
      <c r="L96" s="5"/>
      <c r="M96" s="5"/>
      <c r="N96" s="5"/>
      <c r="O96" s="5"/>
      <c r="P96" s="5"/>
    </row>
    <row r="97" spans="1:25" ht="18" customHeight="1" thickBot="1">
      <c r="A97" s="12"/>
      <c r="B97" s="3" t="s">
        <v>29</v>
      </c>
      <c r="C97" s="13" t="s">
        <v>30</v>
      </c>
      <c r="D97" s="3" t="s">
        <v>11</v>
      </c>
      <c r="E97" s="3">
        <f>'Calcul FiberBoard'!S24</f>
        <v>0</v>
      </c>
      <c r="F97" s="286">
        <v>17</v>
      </c>
      <c r="G97" s="33">
        <f>E97*F97</f>
        <v>0</v>
      </c>
      <c r="H97" s="248">
        <f>E97</f>
        <v>0</v>
      </c>
      <c r="I97" s="5"/>
      <c r="J97" s="5"/>
      <c r="K97" s="5"/>
      <c r="L97" s="5"/>
      <c r="M97" s="5"/>
      <c r="N97" s="5"/>
      <c r="O97" s="5"/>
      <c r="P97" s="5"/>
    </row>
    <row r="98" spans="1:25" ht="18" customHeight="1" thickBot="1">
      <c r="A98" s="35"/>
      <c r="B98" s="40" t="s">
        <v>377</v>
      </c>
      <c r="C98" s="37" t="s">
        <v>378</v>
      </c>
      <c r="D98" s="40" t="s">
        <v>11</v>
      </c>
      <c r="E98" s="40">
        <f>'Calcul FiberBoard'!U22</f>
        <v>0</v>
      </c>
      <c r="F98" s="303">
        <v>63</v>
      </c>
      <c r="G98" s="38">
        <f>E98*F98</f>
        <v>0</v>
      </c>
      <c r="H98" s="248">
        <f>E98</f>
        <v>0</v>
      </c>
      <c r="I98" s="5"/>
      <c r="J98" s="5"/>
      <c r="K98" s="5"/>
      <c r="L98" s="5"/>
      <c r="M98" s="5"/>
      <c r="N98" s="5"/>
      <c r="O98" s="5"/>
      <c r="P98" s="5"/>
    </row>
    <row r="99" spans="1:25" ht="18" customHeight="1" thickTop="1" thickBot="1">
      <c r="A99" s="571" t="s">
        <v>32</v>
      </c>
      <c r="B99" s="572"/>
      <c r="C99" s="572"/>
      <c r="D99" s="165"/>
      <c r="E99" s="165"/>
      <c r="F99" s="310"/>
      <c r="G99" s="166"/>
      <c r="H99" s="248">
        <f>SUM(H100:H102)</f>
        <v>0</v>
      </c>
      <c r="I99" s="5"/>
    </row>
    <row r="100" spans="1:25" ht="27.9" customHeight="1" thickTop="1" thickBot="1">
      <c r="A100" s="12"/>
      <c r="B100" s="3" t="s">
        <v>376</v>
      </c>
      <c r="C100" s="13" t="s">
        <v>379</v>
      </c>
      <c r="D100" s="3" t="s">
        <v>11</v>
      </c>
      <c r="E100" s="3">
        <f>'Calcul FiberBoard'!AG22</f>
        <v>0</v>
      </c>
      <c r="F100" s="287">
        <v>229</v>
      </c>
      <c r="G100" s="33">
        <f t="shared" si="4"/>
        <v>0</v>
      </c>
      <c r="H100" s="248">
        <f>E100</f>
        <v>0</v>
      </c>
      <c r="I100" s="5"/>
      <c r="N100" s="551"/>
    </row>
    <row r="101" spans="1:25" ht="18" customHeight="1" thickBot="1">
      <c r="A101" s="12"/>
      <c r="B101" s="3" t="s">
        <v>29</v>
      </c>
      <c r="C101" s="13" t="s">
        <v>30</v>
      </c>
      <c r="D101" s="3" t="s">
        <v>11</v>
      </c>
      <c r="E101" s="3">
        <f>'Calcul FiberBoard'!AD24</f>
        <v>0</v>
      </c>
      <c r="F101" s="286">
        <v>17</v>
      </c>
      <c r="G101" s="33">
        <f t="shared" si="4"/>
        <v>0</v>
      </c>
      <c r="H101" s="248">
        <f>E101</f>
        <v>0</v>
      </c>
      <c r="I101" s="5"/>
      <c r="N101" s="552"/>
    </row>
    <row r="102" spans="1:25" ht="18" customHeight="1" thickBot="1">
      <c r="A102" s="35"/>
      <c r="B102" s="40" t="s">
        <v>377</v>
      </c>
      <c r="C102" s="37" t="s">
        <v>378</v>
      </c>
      <c r="D102" s="40" t="s">
        <v>11</v>
      </c>
      <c r="E102" s="40">
        <f>'Calcul FiberBoard'!AF22</f>
        <v>0</v>
      </c>
      <c r="F102" s="288">
        <v>63</v>
      </c>
      <c r="G102" s="38">
        <f t="shared" si="4"/>
        <v>0</v>
      </c>
      <c r="H102" s="248">
        <f>E102</f>
        <v>0</v>
      </c>
      <c r="I102" s="5"/>
      <c r="N102" s="552"/>
    </row>
    <row r="103" spans="1:25" ht="18" customHeight="1" thickTop="1" thickBot="1">
      <c r="A103" s="522" t="s">
        <v>25</v>
      </c>
      <c r="B103" s="523"/>
      <c r="C103" s="523"/>
      <c r="D103" s="523"/>
      <c r="E103" s="523"/>
      <c r="F103" s="577"/>
      <c r="G103" s="96">
        <f>SUM(G92:G102)</f>
        <v>0</v>
      </c>
      <c r="H103" s="251">
        <f>G103</f>
        <v>0</v>
      </c>
      <c r="I103" t="s">
        <v>184</v>
      </c>
      <c r="J103" t="s">
        <v>184</v>
      </c>
      <c r="N103" s="552"/>
    </row>
    <row r="104" spans="1:25" ht="18" customHeight="1" thickTop="1" thickBot="1">
      <c r="A104" s="537" t="s">
        <v>157</v>
      </c>
      <c r="B104" s="573"/>
      <c r="C104" s="573"/>
      <c r="D104" s="573"/>
      <c r="E104" s="304">
        <v>0.05</v>
      </c>
      <c r="F104" s="265"/>
      <c r="G104" s="98">
        <f>G103*(1-E104)</f>
        <v>0</v>
      </c>
      <c r="H104" s="251">
        <f>G104</f>
        <v>0</v>
      </c>
      <c r="N104" s="552"/>
    </row>
    <row r="105" spans="1:25" ht="18" customHeight="1" thickTop="1" thickBot="1">
      <c r="A105" s="522" t="s">
        <v>143</v>
      </c>
      <c r="B105" s="523"/>
      <c r="C105" s="523"/>
      <c r="D105" s="523"/>
      <c r="E105" s="523"/>
      <c r="F105" s="523"/>
      <c r="G105" s="98">
        <f>G104*1.19</f>
        <v>0</v>
      </c>
      <c r="H105" s="251">
        <f>G105</f>
        <v>0</v>
      </c>
      <c r="N105" s="552"/>
    </row>
    <row r="106" spans="1:25" ht="18" customHeight="1" thickTop="1">
      <c r="I106" s="81"/>
      <c r="J106" s="82"/>
      <c r="K106" s="82"/>
      <c r="L106" s="86"/>
      <c r="M106" s="86"/>
      <c r="N106" s="552"/>
      <c r="O106" s="69"/>
      <c r="P106" s="92"/>
      <c r="Q106" s="92"/>
      <c r="R106" s="92"/>
      <c r="S106" s="69"/>
      <c r="T106" s="69"/>
      <c r="U106" s="69"/>
      <c r="V106" s="69"/>
      <c r="W106" s="69"/>
      <c r="X106" s="69"/>
      <c r="Y106" s="69"/>
    </row>
    <row r="107" spans="1:25" ht="18" customHeight="1">
      <c r="I107" s="81"/>
      <c r="J107" s="82"/>
      <c r="K107" s="82"/>
      <c r="L107" s="86"/>
      <c r="M107" s="86"/>
      <c r="N107" s="552"/>
      <c r="O107" s="100"/>
      <c r="P107" s="92"/>
      <c r="Q107" s="92"/>
      <c r="R107" s="92"/>
      <c r="S107" s="69"/>
      <c r="T107" s="69"/>
      <c r="U107" s="69"/>
      <c r="V107" s="69"/>
      <c r="W107" s="69"/>
      <c r="X107" s="69"/>
      <c r="Y107" s="69"/>
    </row>
    <row r="108" spans="1:25" ht="18" customHeight="1">
      <c r="I108" s="81"/>
      <c r="J108" s="82"/>
      <c r="K108" s="82"/>
      <c r="L108" s="86"/>
      <c r="M108" s="86"/>
      <c r="N108" s="552"/>
      <c r="O108" s="100"/>
      <c r="P108" s="92"/>
      <c r="Q108" s="92"/>
      <c r="R108" s="92"/>
      <c r="S108" s="69"/>
      <c r="T108" s="69"/>
      <c r="U108" s="69"/>
      <c r="V108" s="69"/>
      <c r="W108" s="69"/>
      <c r="X108" s="69"/>
      <c r="Y108" s="69"/>
    </row>
    <row r="109" spans="1:25" ht="18" customHeight="1">
      <c r="I109" s="81"/>
      <c r="J109" s="82"/>
      <c r="K109" s="82"/>
      <c r="L109" s="86"/>
      <c r="M109" s="86"/>
      <c r="N109" s="552"/>
      <c r="O109" s="100"/>
      <c r="P109" s="92"/>
      <c r="Q109" s="92"/>
      <c r="R109" s="92"/>
      <c r="S109" s="69"/>
      <c r="T109" s="69"/>
      <c r="U109" s="69"/>
      <c r="V109" s="69"/>
      <c r="W109" s="69"/>
      <c r="X109" s="69"/>
      <c r="Y109" s="69"/>
    </row>
    <row r="110" spans="1:25" ht="18.75" customHeight="1">
      <c r="A110" s="520" t="s">
        <v>335</v>
      </c>
      <c r="B110" s="521"/>
      <c r="C110" s="521"/>
      <c r="D110" s="521"/>
      <c r="E110" s="521"/>
      <c r="F110" s="521"/>
      <c r="G110" s="521"/>
      <c r="H110" s="251">
        <f>SUM(H112:H116)</f>
        <v>0</v>
      </c>
      <c r="N110" s="552"/>
    </row>
    <row r="111" spans="1:25" ht="15" thickBot="1">
      <c r="A111" s="53"/>
      <c r="B111" s="53"/>
      <c r="C111" s="53"/>
      <c r="D111" s="53"/>
      <c r="E111" s="53"/>
      <c r="F111" s="53"/>
      <c r="G111" s="70"/>
      <c r="H111" s="251"/>
      <c r="N111" s="552"/>
    </row>
    <row r="112" spans="1:25" ht="18" customHeight="1" thickTop="1">
      <c r="A112" s="6" t="s">
        <v>1</v>
      </c>
      <c r="B112" s="518"/>
      <c r="C112" s="518" t="s">
        <v>4</v>
      </c>
      <c r="D112" s="518" t="s">
        <v>5</v>
      </c>
      <c r="E112" s="518" t="s">
        <v>6</v>
      </c>
      <c r="F112" s="7" t="s">
        <v>7</v>
      </c>
      <c r="G112" s="8" t="s">
        <v>9</v>
      </c>
      <c r="H112" s="251">
        <f>G116</f>
        <v>0</v>
      </c>
    </row>
    <row r="113" spans="1:25" ht="18" customHeight="1" thickBot="1">
      <c r="A113" s="9" t="s">
        <v>2</v>
      </c>
      <c r="B113" s="519"/>
      <c r="C113" s="519"/>
      <c r="D113" s="519"/>
      <c r="E113" s="519"/>
      <c r="F113" s="10" t="s">
        <v>330</v>
      </c>
      <c r="G113" s="11" t="s">
        <v>330</v>
      </c>
      <c r="H113" s="251">
        <f>G116</f>
        <v>0</v>
      </c>
    </row>
    <row r="114" spans="1:25" ht="18" customHeight="1" thickTop="1" thickBot="1">
      <c r="A114" s="12"/>
      <c r="B114" s="3"/>
      <c r="C114" s="13" t="s">
        <v>329</v>
      </c>
      <c r="D114" s="3" t="s">
        <v>92</v>
      </c>
      <c r="E114" s="212">
        <f>'Calcul FiberBoard'!A24</f>
        <v>0</v>
      </c>
      <c r="F114" s="150">
        <v>13</v>
      </c>
      <c r="G114" s="33">
        <f>E114*F114</f>
        <v>0</v>
      </c>
      <c r="H114" s="251">
        <f>E114</f>
        <v>0</v>
      </c>
    </row>
    <row r="115" spans="1:25" ht="18" customHeight="1" thickBot="1">
      <c r="A115" s="221"/>
      <c r="B115" s="222"/>
      <c r="C115" s="220" t="s">
        <v>332</v>
      </c>
      <c r="D115" s="222" t="s">
        <v>331</v>
      </c>
      <c r="E115" s="225">
        <f>IF(AND(E70=1, E74=1, E78=1), 3,
IF(OR(AND(E70=1, E74=1), AND(E70=1, E78=1), AND(E74=1, E78=1)), 2,
IF(OR(E70=1, E74=1, E78=1), 1, 0)))</f>
        <v>0</v>
      </c>
      <c r="F115" s="225">
        <v>170</v>
      </c>
      <c r="G115" s="262">
        <f>E115*F115</f>
        <v>0</v>
      </c>
      <c r="H115" s="251">
        <f>E115</f>
        <v>0</v>
      </c>
    </row>
    <row r="116" spans="1:25" ht="18" customHeight="1" thickTop="1" thickBot="1">
      <c r="A116" s="522" t="s">
        <v>334</v>
      </c>
      <c r="B116" s="523"/>
      <c r="C116" s="523"/>
      <c r="D116" s="523"/>
      <c r="E116" s="523"/>
      <c r="F116" s="523"/>
      <c r="G116" s="98">
        <f>SUM(G114:G115)</f>
        <v>0</v>
      </c>
      <c r="H116" s="251">
        <f>G116</f>
        <v>0</v>
      </c>
    </row>
    <row r="117" spans="1:25" ht="18" customHeight="1" thickTop="1">
      <c r="A117" s="53"/>
      <c r="B117" s="53"/>
      <c r="C117" s="53"/>
      <c r="D117" s="53"/>
      <c r="E117" s="53"/>
      <c r="F117" s="53"/>
      <c r="G117" s="70"/>
      <c r="H117" s="251">
        <f>SUM(H112:H116)</f>
        <v>0</v>
      </c>
      <c r="I117" s="79"/>
      <c r="J117" s="80"/>
      <c r="K117" s="80"/>
      <c r="L117" s="78"/>
      <c r="M117" s="78"/>
      <c r="O117" s="49"/>
      <c r="P117" s="92"/>
      <c r="Q117" s="92"/>
      <c r="R117" s="92"/>
      <c r="S117" s="69"/>
      <c r="T117" s="69"/>
      <c r="U117" s="93"/>
      <c r="V117" s="88"/>
      <c r="W117" s="89"/>
      <c r="X117" s="89"/>
      <c r="Y117" s="69"/>
    </row>
    <row r="118" spans="1:25" ht="18.75" customHeight="1">
      <c r="A118" s="520" t="s">
        <v>336</v>
      </c>
      <c r="B118" s="521"/>
      <c r="C118" s="521"/>
      <c r="D118" s="521"/>
      <c r="E118" s="521"/>
      <c r="F118" s="521"/>
      <c r="G118" s="521"/>
      <c r="H118" s="251">
        <f>SUM(H120:H124)</f>
        <v>0</v>
      </c>
    </row>
    <row r="119" spans="1:25" ht="15" thickBot="1">
      <c r="A119" s="53"/>
      <c r="B119" s="53"/>
      <c r="C119" s="53"/>
      <c r="D119" s="53"/>
      <c r="E119" s="53"/>
      <c r="F119" s="53"/>
      <c r="G119" s="70"/>
      <c r="H119" s="251">
        <f>G124</f>
        <v>0</v>
      </c>
    </row>
    <row r="120" spans="1:25" ht="18" customHeight="1" thickTop="1">
      <c r="A120" s="6" t="s">
        <v>1</v>
      </c>
      <c r="B120" s="518"/>
      <c r="C120" s="518" t="s">
        <v>4</v>
      </c>
      <c r="D120" s="518" t="s">
        <v>5</v>
      </c>
      <c r="E120" s="518" t="s">
        <v>6</v>
      </c>
      <c r="F120" s="7" t="s">
        <v>7</v>
      </c>
      <c r="G120" s="8" t="s">
        <v>9</v>
      </c>
      <c r="H120" s="251">
        <f>G124</f>
        <v>0</v>
      </c>
    </row>
    <row r="121" spans="1:25" ht="18" customHeight="1" thickBot="1">
      <c r="A121" s="9" t="s">
        <v>2</v>
      </c>
      <c r="B121" s="519"/>
      <c r="C121" s="519"/>
      <c r="D121" s="519"/>
      <c r="E121" s="519"/>
      <c r="F121" s="10" t="s">
        <v>330</v>
      </c>
      <c r="G121" s="11" t="s">
        <v>330</v>
      </c>
      <c r="H121" s="251">
        <f>G124</f>
        <v>0</v>
      </c>
    </row>
    <row r="122" spans="1:25" ht="18" customHeight="1" thickTop="1" thickBot="1">
      <c r="A122" s="12"/>
      <c r="B122" s="3"/>
      <c r="C122" s="13" t="s">
        <v>329</v>
      </c>
      <c r="D122" s="3" t="s">
        <v>92</v>
      </c>
      <c r="E122" s="212">
        <f>'Calcul FiberBoard'!A24</f>
        <v>0</v>
      </c>
      <c r="F122" s="150">
        <v>13</v>
      </c>
      <c r="G122" s="33">
        <f>E122*F122</f>
        <v>0</v>
      </c>
      <c r="H122" s="251">
        <f>E122</f>
        <v>0</v>
      </c>
    </row>
    <row r="123" spans="1:25" ht="18" customHeight="1" thickBot="1">
      <c r="A123" s="223"/>
      <c r="B123" s="224"/>
      <c r="C123" s="219" t="s">
        <v>333</v>
      </c>
      <c r="D123" s="227" t="s">
        <v>331</v>
      </c>
      <c r="E123" s="228">
        <f>IF(AND(E92=1, E96=1, E100=1), 3,
IF(OR(AND(E92=1, E96=1), AND(E92=1, E100=1), AND(E96=1, E100=1)), 2,
IF(OR(E92=1, E96=1, E100=1), 1, 0)))</f>
        <v>0</v>
      </c>
      <c r="F123" s="228">
        <v>120</v>
      </c>
      <c r="G123" s="263">
        <f>E123*F123</f>
        <v>0</v>
      </c>
      <c r="H123" s="251">
        <f>E123</f>
        <v>0</v>
      </c>
    </row>
    <row r="124" spans="1:25" ht="18" customHeight="1" thickTop="1" thickBot="1">
      <c r="A124" s="522" t="s">
        <v>334</v>
      </c>
      <c r="B124" s="523"/>
      <c r="C124" s="523"/>
      <c r="D124" s="523"/>
      <c r="E124" s="523"/>
      <c r="F124" s="523"/>
      <c r="G124" s="98">
        <f>SUM(G122:G123)</f>
        <v>0</v>
      </c>
      <c r="H124" s="251">
        <f>G124</f>
        <v>0</v>
      </c>
    </row>
    <row r="125" spans="1:25" ht="15" thickTop="1"/>
    <row r="127" spans="1:25" ht="18.75" customHeight="1">
      <c r="A127" s="544" t="s">
        <v>169</v>
      </c>
      <c r="B127" s="544"/>
      <c r="C127" s="544"/>
      <c r="D127" s="544"/>
      <c r="E127" s="544"/>
      <c r="F127" s="544"/>
      <c r="G127" s="544"/>
      <c r="H127" s="248" t="s">
        <v>83</v>
      </c>
    </row>
    <row r="128" spans="1:25" ht="16.5" customHeight="1">
      <c r="A128" s="559" t="s">
        <v>170</v>
      </c>
      <c r="B128" s="559"/>
      <c r="C128" s="559"/>
      <c r="D128" s="559"/>
      <c r="E128" s="559"/>
      <c r="F128" s="559"/>
      <c r="G128" s="559"/>
      <c r="H128" s="248" t="s">
        <v>83</v>
      </c>
    </row>
    <row r="129" spans="1:18" ht="27.75" customHeight="1">
      <c r="A129" s="559" t="s">
        <v>177</v>
      </c>
      <c r="B129" s="559"/>
      <c r="C129" s="559"/>
      <c r="D129" s="559"/>
      <c r="E129" s="559"/>
      <c r="F129" s="559"/>
      <c r="G129" s="559"/>
      <c r="H129" s="248" t="s">
        <v>83</v>
      </c>
    </row>
    <row r="130" spans="1:18" ht="27" customHeight="1">
      <c r="A130" s="559" t="s">
        <v>328</v>
      </c>
      <c r="B130" s="559"/>
      <c r="C130" s="559"/>
      <c r="D130" s="559"/>
      <c r="E130" s="559"/>
      <c r="F130" s="559"/>
      <c r="G130" s="559"/>
      <c r="H130" s="248" t="s">
        <v>83</v>
      </c>
    </row>
    <row r="131" spans="1:18" ht="27" customHeight="1">
      <c r="A131" s="559" t="s">
        <v>174</v>
      </c>
      <c r="B131" s="559"/>
      <c r="C131" s="559"/>
      <c r="D131" s="559"/>
      <c r="E131" s="559"/>
      <c r="F131" s="559"/>
      <c r="G131" s="559"/>
      <c r="H131" s="248" t="s">
        <v>83</v>
      </c>
      <c r="L131" t="s">
        <v>175</v>
      </c>
    </row>
    <row r="132" spans="1:18" ht="15.75" customHeight="1">
      <c r="A132" s="16"/>
      <c r="B132" s="16"/>
      <c r="C132" s="16"/>
      <c r="D132" s="16"/>
      <c r="E132" s="16"/>
      <c r="F132" s="16"/>
      <c r="G132" s="16"/>
      <c r="H132" s="248" t="s">
        <v>83</v>
      </c>
      <c r="I132" s="558"/>
      <c r="J132" s="558"/>
      <c r="K132" s="83"/>
      <c r="L132" s="84"/>
      <c r="M132" s="84"/>
      <c r="N132" s="51"/>
      <c r="O132" s="49"/>
      <c r="P132" s="50"/>
      <c r="Q132" s="50"/>
      <c r="R132" s="50"/>
    </row>
    <row r="133" spans="1:18" ht="19.5" customHeight="1">
      <c r="A133" s="560" t="s">
        <v>142</v>
      </c>
      <c r="B133" s="560"/>
      <c r="C133" s="560"/>
      <c r="G133" s="44"/>
      <c r="H133" s="248" t="s">
        <v>83</v>
      </c>
    </row>
    <row r="134" spans="1:18" ht="16.5" customHeight="1">
      <c r="A134" s="561" t="s">
        <v>324</v>
      </c>
      <c r="B134" s="561"/>
      <c r="C134" s="561"/>
      <c r="D134" s="196"/>
      <c r="E134" s="210"/>
      <c r="F134" s="210"/>
      <c r="G134" s="211"/>
      <c r="H134" s="248" t="s">
        <v>83</v>
      </c>
    </row>
    <row r="135" spans="1:18">
      <c r="A135" s="544" t="s">
        <v>56</v>
      </c>
      <c r="B135" s="544"/>
      <c r="C135" s="544"/>
      <c r="D135" s="544"/>
      <c r="E135" s="544"/>
      <c r="F135" s="544"/>
      <c r="G135" s="544"/>
      <c r="H135" s="248" t="s">
        <v>83</v>
      </c>
    </row>
    <row r="136" spans="1:18">
      <c r="A136" s="544" t="s">
        <v>93</v>
      </c>
      <c r="B136" s="544"/>
      <c r="C136" s="544"/>
      <c r="D136" s="544"/>
      <c r="E136" s="544"/>
      <c r="F136" s="544"/>
      <c r="G136" s="544"/>
      <c r="H136" s="248" t="s">
        <v>83</v>
      </c>
      <c r="J136" s="560"/>
      <c r="K136" s="560"/>
      <c r="L136" s="560"/>
      <c r="M136" s="560"/>
      <c r="N136" s="560"/>
      <c r="O136" s="560"/>
      <c r="P136" s="560"/>
    </row>
    <row r="137" spans="1:18" ht="15" customHeight="1">
      <c r="A137" s="544" t="s">
        <v>57</v>
      </c>
      <c r="B137" s="544"/>
      <c r="C137" s="544"/>
      <c r="D137" s="544"/>
      <c r="E137" s="544"/>
      <c r="F137" s="544"/>
      <c r="G137" s="544"/>
      <c r="H137" s="248" t="s">
        <v>83</v>
      </c>
    </row>
    <row r="138" spans="1:18" ht="15" customHeight="1">
      <c r="A138" s="16"/>
      <c r="B138" s="15"/>
      <c r="C138" s="15"/>
      <c r="D138" s="15"/>
      <c r="E138" s="15"/>
      <c r="F138" s="15"/>
      <c r="G138" s="15"/>
      <c r="H138" s="248" t="s">
        <v>83</v>
      </c>
    </row>
    <row r="139" spans="1:18" ht="15" customHeight="1">
      <c r="A139" s="15"/>
      <c r="B139" s="21" t="s">
        <v>33</v>
      </c>
      <c r="C139" s="22"/>
      <c r="D139" s="22"/>
      <c r="E139" s="22"/>
      <c r="F139" s="22"/>
      <c r="G139" s="22"/>
      <c r="H139" s="248" t="s">
        <v>83</v>
      </c>
    </row>
    <row r="140" spans="1:18">
      <c r="A140" s="15"/>
      <c r="B140" s="23"/>
      <c r="C140" s="24"/>
      <c r="D140" s="24"/>
      <c r="E140" s="24"/>
      <c r="F140" s="24"/>
      <c r="G140" s="24"/>
      <c r="H140" s="248" t="s">
        <v>83</v>
      </c>
    </row>
    <row r="141" spans="1:18">
      <c r="A141" s="25"/>
      <c r="B141" s="553"/>
      <c r="C141" s="530"/>
      <c r="D141" s="25"/>
      <c r="E141" s="25"/>
      <c r="F141" s="25"/>
      <c r="G141" s="25"/>
      <c r="H141" s="248" t="s">
        <v>83</v>
      </c>
    </row>
    <row r="142" spans="1:18">
      <c r="A142" s="25"/>
      <c r="B142" s="553" t="s">
        <v>34</v>
      </c>
      <c r="C142" s="530"/>
      <c r="D142" s="25"/>
      <c r="E142" s="25"/>
      <c r="F142" s="25"/>
      <c r="G142" s="25"/>
      <c r="H142" s="248" t="s">
        <v>83</v>
      </c>
    </row>
    <row r="143" spans="1:18">
      <c r="H143" s="248" t="s">
        <v>83</v>
      </c>
    </row>
  </sheetData>
  <autoFilter ref="H20:H124" xr:uid="{61732DA3-46CB-4CF3-83DA-63C536E5E7EA}"/>
  <mergeCells count="71">
    <mergeCell ref="A7:C7"/>
    <mergeCell ref="A1:C1"/>
    <mergeCell ref="A3:C3"/>
    <mergeCell ref="A4:C4"/>
    <mergeCell ref="A5:C5"/>
    <mergeCell ref="A6:C6"/>
    <mergeCell ref="A62:G62"/>
    <mergeCell ref="A9:G9"/>
    <mergeCell ref="A10:G10"/>
    <mergeCell ref="A11:C11"/>
    <mergeCell ref="A18:G18"/>
    <mergeCell ref="B19:B20"/>
    <mergeCell ref="C19:C20"/>
    <mergeCell ref="D19:D20"/>
    <mergeCell ref="E19:E20"/>
    <mergeCell ref="A21:C21"/>
    <mergeCell ref="A25:F25"/>
    <mergeCell ref="A55:D55"/>
    <mergeCell ref="A56:D56"/>
    <mergeCell ref="A57:D57"/>
    <mergeCell ref="A83:F83"/>
    <mergeCell ref="A64:G64"/>
    <mergeCell ref="A65:G65"/>
    <mergeCell ref="B67:B68"/>
    <mergeCell ref="C67:C68"/>
    <mergeCell ref="D67:D68"/>
    <mergeCell ref="E67:E68"/>
    <mergeCell ref="A69:C69"/>
    <mergeCell ref="A73:C73"/>
    <mergeCell ref="A77:C77"/>
    <mergeCell ref="A81:F81"/>
    <mergeCell ref="A82:D82"/>
    <mergeCell ref="A86:G86"/>
    <mergeCell ref="A87:G87"/>
    <mergeCell ref="B89:B90"/>
    <mergeCell ref="C89:C90"/>
    <mergeCell ref="D89:D90"/>
    <mergeCell ref="E89:E90"/>
    <mergeCell ref="N100:N111"/>
    <mergeCell ref="A103:F103"/>
    <mergeCell ref="A104:D104"/>
    <mergeCell ref="A105:F105"/>
    <mergeCell ref="A110:G110"/>
    <mergeCell ref="A118:G118"/>
    <mergeCell ref="A91:C91"/>
    <mergeCell ref="A95:C95"/>
    <mergeCell ref="A99:C99"/>
    <mergeCell ref="B112:B113"/>
    <mergeCell ref="C112:C113"/>
    <mergeCell ref="D112:D113"/>
    <mergeCell ref="E112:E113"/>
    <mergeCell ref="A116:F116"/>
    <mergeCell ref="I132:J132"/>
    <mergeCell ref="B120:B121"/>
    <mergeCell ref="C120:C121"/>
    <mergeCell ref="D120:D121"/>
    <mergeCell ref="E120:E121"/>
    <mergeCell ref="A124:F124"/>
    <mergeCell ref="A127:G127"/>
    <mergeCell ref="A128:G128"/>
    <mergeCell ref="A129:G129"/>
    <mergeCell ref="A130:G130"/>
    <mergeCell ref="A131:G131"/>
    <mergeCell ref="B141:C141"/>
    <mergeCell ref="B142:C142"/>
    <mergeCell ref="J136:P136"/>
    <mergeCell ref="A137:G137"/>
    <mergeCell ref="A133:C133"/>
    <mergeCell ref="A134:C134"/>
    <mergeCell ref="A135:G135"/>
    <mergeCell ref="A136:G136"/>
  </mergeCells>
  <phoneticPr fontId="16" type="noConversion"/>
  <hyperlinks>
    <hyperlink ref="B142" r:id="rId1" xr:uid="{1737B5EE-01A8-4EB2-BA0A-D5FCF9B6EBAE}"/>
    <hyperlink ref="A134" r:id="rId2" xr:uid="{598B1D60-53F4-48AB-BB50-1A079E01AFF5}"/>
  </hyperlinks>
  <pageMargins left="0.70866141732283505" right="0.23622047244094499" top="1.14173228346457" bottom="1.1599999999999999" header="0.196850393700787" footer="0.15748031496063"/>
  <pageSetup paperSize="9" scale="83" orientation="portrait" r:id="rId3"/>
  <headerFooter scaleWithDoc="0" alignWithMargins="0">
    <oddHeader>&amp;L&amp;G&amp;R&amp;G</oddHeader>
    <oddFooter xml:space="preserve">&amp;L
RO33404978
J40/8589/2014
RO56INGB0000999915150915
ING BANK NV&amp;CStr. Învingătorilor nr. 27, Sector 3, București
Tel :  (+4) 0314.361.836
Mobil:  (+4) 0724.204.888
             (+4) 0766.367.287&amp;REmail: 
comercial@magnumheating.ro
</oddFooter>
  </headerFooter>
  <colBreaks count="1" manualBreakCount="1">
    <brk id="7" max="1048575" man="1"/>
  </colBreaks>
  <drawing r:id="rId4"/>
  <legacyDrawingHF r:id="rId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1AE265-72F0-4731-853E-6568E74040BA}">
  <sheetPr>
    <tabColor theme="5" tint="-0.249977111117893"/>
  </sheetPr>
  <dimension ref="A1:AG189"/>
  <sheetViews>
    <sheetView zoomScaleNormal="100" zoomScaleSheetLayoutView="100" workbookViewId="0">
      <selection activeCell="M26" sqref="M26"/>
    </sheetView>
  </sheetViews>
  <sheetFormatPr defaultRowHeight="14.4"/>
  <cols>
    <col min="1" max="1" width="16.109375" customWidth="1"/>
    <col min="2" max="2" width="8.109375" customWidth="1"/>
    <col min="3" max="3" width="9.5546875" customWidth="1"/>
    <col min="4" max="4" width="10.88671875" customWidth="1"/>
    <col min="5" max="5" width="8.6640625" customWidth="1"/>
    <col min="6" max="6" width="9.44140625" customWidth="1"/>
    <col min="7" max="7" width="8.88671875" customWidth="1"/>
    <col min="8" max="8" width="8.109375" customWidth="1"/>
    <col min="9" max="9" width="11.33203125" customWidth="1"/>
    <col min="10" max="10" width="9.109375" customWidth="1"/>
    <col min="11" max="11" width="10.5546875" customWidth="1"/>
    <col min="12" max="12" width="12.44140625" customWidth="1"/>
    <col min="13" max="13" width="8.33203125" customWidth="1"/>
    <col min="14" max="14" width="9.44140625" customWidth="1"/>
    <col min="15" max="15" width="9.33203125" customWidth="1"/>
    <col min="16" max="16" width="8.88671875" customWidth="1"/>
    <col min="17" max="17" width="4.109375" hidden="1" customWidth="1"/>
    <col min="18" max="18" width="3.33203125" hidden="1" customWidth="1"/>
    <col min="19" max="19" width="7.44140625" customWidth="1"/>
    <col min="20" max="20" width="8.88671875" hidden="1" customWidth="1"/>
    <col min="21" max="21" width="9" customWidth="1"/>
    <col min="22" max="22" width="10.88671875" customWidth="1"/>
    <col min="23" max="23" width="11.44140625" customWidth="1"/>
    <col min="28" max="29" width="0" hidden="1" customWidth="1"/>
    <col min="31" max="31" width="0" hidden="1" customWidth="1"/>
    <col min="33" max="33" width="10.5546875" customWidth="1"/>
  </cols>
  <sheetData>
    <row r="1" spans="1:33" ht="23.25" customHeight="1" thickTop="1" thickBot="1">
      <c r="A1" s="615" t="s">
        <v>252</v>
      </c>
      <c r="B1" s="616"/>
      <c r="C1" s="616"/>
      <c r="D1" s="616"/>
      <c r="E1" s="616"/>
      <c r="F1" s="177"/>
      <c r="G1" s="177"/>
      <c r="H1" s="177"/>
      <c r="I1" s="177"/>
      <c r="J1" s="177"/>
      <c r="K1" s="54"/>
      <c r="L1" s="617" t="s">
        <v>251</v>
      </c>
      <c r="M1" s="618"/>
      <c r="N1" s="618"/>
      <c r="O1" s="618"/>
      <c r="P1" s="619"/>
      <c r="Q1" s="177"/>
      <c r="R1" s="177"/>
      <c r="S1" s="177"/>
      <c r="T1" s="177"/>
      <c r="U1" s="177"/>
      <c r="W1" s="626" t="s">
        <v>337</v>
      </c>
      <c r="X1" s="627"/>
      <c r="Y1" s="627"/>
      <c r="Z1" s="627"/>
      <c r="AA1" s="628"/>
      <c r="AB1" s="177"/>
      <c r="AC1" s="177"/>
      <c r="AD1" s="177"/>
      <c r="AE1" s="177"/>
      <c r="AF1" s="177"/>
    </row>
    <row r="2" spans="1:33" ht="21" customHeight="1" thickTop="1" thickBot="1">
      <c r="A2" s="581" t="s">
        <v>396</v>
      </c>
      <c r="B2" s="582"/>
      <c r="C2" s="582"/>
      <c r="D2" s="582"/>
      <c r="E2" s="582"/>
      <c r="F2" s="620"/>
      <c r="G2" s="621"/>
      <c r="H2" s="621"/>
      <c r="I2" s="621"/>
      <c r="J2" s="621"/>
      <c r="K2" s="151"/>
      <c r="L2" s="622" t="s">
        <v>396</v>
      </c>
      <c r="M2" s="623"/>
      <c r="N2" s="623"/>
      <c r="O2" s="623"/>
      <c r="P2" s="624"/>
      <c r="Q2" s="625"/>
      <c r="R2" s="620"/>
      <c r="S2" s="620"/>
      <c r="T2" s="620"/>
      <c r="U2" s="620"/>
      <c r="W2" s="622" t="s">
        <v>396</v>
      </c>
      <c r="X2" s="623"/>
      <c r="Y2" s="623"/>
      <c r="Z2" s="623"/>
      <c r="AA2" s="624"/>
      <c r="AB2" s="625"/>
      <c r="AC2" s="620"/>
      <c r="AD2" s="620"/>
      <c r="AE2" s="620"/>
      <c r="AF2" s="620"/>
    </row>
    <row r="3" spans="1:33" ht="38.25" customHeight="1" thickTop="1" thickBot="1">
      <c r="A3" s="55"/>
      <c r="B3" s="55" t="s">
        <v>144</v>
      </c>
      <c r="C3" s="55" t="s">
        <v>158</v>
      </c>
      <c r="D3" s="55" t="s">
        <v>226</v>
      </c>
      <c r="E3" s="55" t="s">
        <v>223</v>
      </c>
      <c r="F3" s="56"/>
      <c r="G3" s="56"/>
      <c r="H3" s="56"/>
      <c r="I3" s="152" t="s">
        <v>222</v>
      </c>
      <c r="J3" s="56"/>
      <c r="K3" s="56"/>
      <c r="L3" s="55"/>
      <c r="M3" s="55" t="s">
        <v>144</v>
      </c>
      <c r="N3" s="55" t="s">
        <v>158</v>
      </c>
      <c r="O3" s="55" t="s">
        <v>227</v>
      </c>
      <c r="P3" s="55" t="s">
        <v>223</v>
      </c>
      <c r="Q3" s="56"/>
      <c r="R3" s="56"/>
      <c r="S3" s="56"/>
      <c r="T3" s="56"/>
      <c r="U3" s="56"/>
      <c r="V3" s="56"/>
      <c r="W3" s="55"/>
      <c r="X3" s="55" t="s">
        <v>144</v>
      </c>
      <c r="Y3" s="55" t="s">
        <v>158</v>
      </c>
      <c r="Z3" s="55" t="s">
        <v>227</v>
      </c>
      <c r="AA3" s="55" t="s">
        <v>223</v>
      </c>
      <c r="AB3" s="56"/>
      <c r="AC3" s="56"/>
      <c r="AD3" s="56"/>
      <c r="AE3" s="56"/>
      <c r="AF3" s="56"/>
      <c r="AG3" s="56"/>
    </row>
    <row r="4" spans="1:33" ht="15.9" customHeight="1" thickTop="1" thickBot="1">
      <c r="A4" s="57" t="s">
        <v>146</v>
      </c>
      <c r="B4" s="58"/>
      <c r="C4" s="141">
        <f>B4*8.33</f>
        <v>0</v>
      </c>
      <c r="D4" s="142">
        <f>(ROUNDUP(C4/90,0))</f>
        <v>0</v>
      </c>
      <c r="E4" s="55" t="str">
        <f>IF(AND(ISNUMBER(SEARCH("living",A4)),D4&gt;0),1,IF(AND(ISNUMBER(SEARCH("dining",A4)),D4&gt;0),1,IF(AND(ISNUMBER(SEARCH("bucatarie",A4)),D4&gt;0),1,IF(AND(ISNUMBER(SEARCH("dormitor",A4)),D4&gt;0),1,IF(AND(ISNUMBER(SEARCH("birou",A4)),D4&gt;0),1,IF(AND(ISNUMBER(SEARCH("baie",A4)),D4&gt;0),1,IF(AND(ISNUMBER(SEARCH("liv.+dining",A4)),D4&gt;0),1,IF(AND(ISNUMBER(SEARCH("camera",A4)),D4&gt;0),1,""))))))))</f>
        <v/>
      </c>
      <c r="F4" s="187"/>
      <c r="G4" s="180"/>
      <c r="H4" s="188"/>
      <c r="I4" s="55" t="s">
        <v>146</v>
      </c>
      <c r="J4" s="56"/>
      <c r="K4" s="56"/>
      <c r="L4" s="57" t="s">
        <v>146</v>
      </c>
      <c r="M4" s="58"/>
      <c r="N4" s="141">
        <f>M4*8.33</f>
        <v>0</v>
      </c>
      <c r="O4" s="142">
        <f>(ROUNDUP(N4/90,0))</f>
        <v>0</v>
      </c>
      <c r="P4" s="55" t="str">
        <f>IF(AND(ISNUMBER(SEARCH("living",L4)),O4&gt;0),1,IF(AND(ISNUMBER(SEARCH("dining",L4)),O4&gt;0),1,IF(AND(ISNUMBER(SEARCH("bucatarie",L4)),O4&gt;0),1,IF(AND(ISNUMBER(SEARCH("dormitor",L4)),O4&gt;0),1,IF(AND(ISNUMBER(SEARCH("birou",L4)),O4&gt;0),1,IF(AND(ISNUMBER(SEARCH("baie",L4)),O4&gt;0),1,IF(AND(ISNUMBER(SEARCH("liv.+dining",L4)),O4&gt;0),1,IF(AND(ISNUMBER(SEARCH("camera",L4)),O4&gt;0),1,""))))))))</f>
        <v/>
      </c>
      <c r="Q4" s="187"/>
      <c r="R4" s="180"/>
      <c r="S4" s="188"/>
      <c r="T4" s="189"/>
      <c r="U4" s="56"/>
      <c r="V4" s="56"/>
      <c r="W4" s="57" t="s">
        <v>146</v>
      </c>
      <c r="X4" s="58"/>
      <c r="Y4" s="141">
        <f>X4*8.33</f>
        <v>0</v>
      </c>
      <c r="Z4" s="142">
        <f>(ROUNDUP(Y4/90,0))</f>
        <v>0</v>
      </c>
      <c r="AA4" s="55" t="str">
        <f>IF(AND(ISNUMBER(SEARCH("living",W4)),Z4&gt;0),1,IF(AND(ISNUMBER(SEARCH("dining",W4)),Z4&gt;0),1,IF(AND(ISNUMBER(SEARCH("bucatarie",W4)),Z4&gt;0),1,IF(AND(ISNUMBER(SEARCH("dormitor",W4)),Z4&gt;0),1,IF(AND(ISNUMBER(SEARCH("birou",W4)),Z4&gt;0),1,IF(AND(ISNUMBER(SEARCH("baie",W4)),Z4&gt;0),1,IF(AND(ISNUMBER(SEARCH("liv.+dining",W4)),Z4&gt;0),1,IF(AND(ISNUMBER(SEARCH("camera",W4)),Z4&gt;0),1,""))))))))</f>
        <v/>
      </c>
      <c r="AB4" s="187"/>
      <c r="AC4" s="180"/>
      <c r="AD4" s="188"/>
      <c r="AE4" s="189"/>
      <c r="AF4" s="56"/>
      <c r="AG4" s="56"/>
    </row>
    <row r="5" spans="1:33" ht="15.9" customHeight="1" thickTop="1" thickBot="1">
      <c r="A5" s="57" t="s">
        <v>149</v>
      </c>
      <c r="B5" s="58"/>
      <c r="C5" s="141">
        <f t="shared" ref="C5:C19" si="0">B5*8.33</f>
        <v>0</v>
      </c>
      <c r="D5" s="142">
        <f t="shared" ref="D5:D19" si="1">(ROUNDUP(C5/90,0))</f>
        <v>0</v>
      </c>
      <c r="E5" s="55" t="str">
        <f t="shared" ref="E5:E19" si="2">IF(AND(ISNUMBER(SEARCH("living",A5)),D5&gt;0),1,IF(AND(ISNUMBER(SEARCH("dining",A5)),D5&gt;0),1,IF(AND(ISNUMBER(SEARCH("bucatarie",A5)),D5&gt;0),1,IF(AND(ISNUMBER(SEARCH("dormitor",A5)),D5&gt;0),1,IF(AND(ISNUMBER(SEARCH("birou",A5)),D5&gt;0),1,IF(AND(ISNUMBER(SEARCH("baie",A5)),D5&gt;0),1,IF(AND(ISNUMBER(SEARCH("liv.+dining",A5)),D5&gt;0),1,IF(AND(ISNUMBER(SEARCH("camera",A5)),D5&gt;0),1,""))))))))</f>
        <v/>
      </c>
      <c r="F5" s="187"/>
      <c r="G5" s="180"/>
      <c r="H5" s="188"/>
      <c r="I5" s="55" t="s">
        <v>147</v>
      </c>
      <c r="J5" s="56"/>
      <c r="K5" s="56"/>
      <c r="L5" s="57" t="s">
        <v>149</v>
      </c>
      <c r="M5" s="58"/>
      <c r="N5" s="141">
        <f t="shared" ref="N5:N19" si="3">M5*8.33</f>
        <v>0</v>
      </c>
      <c r="O5" s="142">
        <f t="shared" ref="O5:O19" si="4">(ROUNDUP(N5/90,0))</f>
        <v>0</v>
      </c>
      <c r="P5" s="55" t="str">
        <f t="shared" ref="P5:P19" si="5">IF(AND(ISNUMBER(SEARCH("living",L5)),O5&gt;0),1,IF(AND(ISNUMBER(SEARCH("dining",L5)),O5&gt;0),1,IF(AND(ISNUMBER(SEARCH("bucatarie",L5)),O5&gt;0),1,IF(AND(ISNUMBER(SEARCH("dormitor",L5)),O5&gt;0),1,IF(AND(ISNUMBER(SEARCH("birou",L5)),O5&gt;0),1,IF(AND(ISNUMBER(SEARCH("baie",L5)),O5&gt;0),1,IF(AND(ISNUMBER(SEARCH("liv.+dining",L5)),O5&gt;0),1,IF(AND(ISNUMBER(SEARCH("camera",L5)),O5&gt;0),1,""))))))))</f>
        <v/>
      </c>
      <c r="Q5" s="187"/>
      <c r="R5" s="180"/>
      <c r="S5" s="188"/>
      <c r="T5" s="189"/>
      <c r="U5" s="56"/>
      <c r="V5" s="56"/>
      <c r="W5" s="57" t="s">
        <v>149</v>
      </c>
      <c r="X5" s="58"/>
      <c r="Y5" s="141">
        <f t="shared" ref="Y5:Y19" si="6">X5*8.33</f>
        <v>0</v>
      </c>
      <c r="Z5" s="142">
        <f t="shared" ref="Z5:Z19" si="7">(ROUNDUP(Y5/90,0))</f>
        <v>0</v>
      </c>
      <c r="AA5" s="55" t="str">
        <f t="shared" ref="AA5:AA19" si="8">IF(AND(ISNUMBER(SEARCH("living",W5)),Z5&gt;0),1,IF(AND(ISNUMBER(SEARCH("dining",W5)),Z5&gt;0),1,IF(AND(ISNUMBER(SEARCH("bucatarie",W5)),Z5&gt;0),1,IF(AND(ISNUMBER(SEARCH("dormitor",W5)),Z5&gt;0),1,IF(AND(ISNUMBER(SEARCH("birou",W5)),Z5&gt;0),1,IF(AND(ISNUMBER(SEARCH("baie",W5)),Z5&gt;0),1,IF(AND(ISNUMBER(SEARCH("liv.+dining",W5)),Z5&gt;0),1,IF(AND(ISNUMBER(SEARCH("camera",W5)),Z5&gt;0),1,""))))))))</f>
        <v/>
      </c>
      <c r="AB5" s="187"/>
      <c r="AC5" s="180"/>
      <c r="AD5" s="188"/>
      <c r="AE5" s="189"/>
      <c r="AF5" s="56"/>
      <c r="AG5" s="56"/>
    </row>
    <row r="6" spans="1:33" ht="15.9" customHeight="1" thickTop="1" thickBot="1">
      <c r="A6" s="57" t="s">
        <v>147</v>
      </c>
      <c r="B6" s="58"/>
      <c r="C6" s="141">
        <f t="shared" si="0"/>
        <v>0</v>
      </c>
      <c r="D6" s="142">
        <f t="shared" si="1"/>
        <v>0</v>
      </c>
      <c r="E6" s="55" t="str">
        <f t="shared" si="2"/>
        <v/>
      </c>
      <c r="F6" s="187"/>
      <c r="G6" s="180"/>
      <c r="H6" s="188"/>
      <c r="I6" s="55" t="s">
        <v>148</v>
      </c>
      <c r="J6" s="56"/>
      <c r="K6" s="56"/>
      <c r="L6" s="57" t="s">
        <v>147</v>
      </c>
      <c r="M6" s="58"/>
      <c r="N6" s="141">
        <f t="shared" si="3"/>
        <v>0</v>
      </c>
      <c r="O6" s="142">
        <f t="shared" si="4"/>
        <v>0</v>
      </c>
      <c r="P6" s="55" t="str">
        <f t="shared" si="5"/>
        <v/>
      </c>
      <c r="Q6" s="187"/>
      <c r="R6" s="180"/>
      <c r="S6" s="188"/>
      <c r="T6" s="189"/>
      <c r="U6" s="56"/>
      <c r="V6" s="56"/>
      <c r="W6" s="57" t="s">
        <v>147</v>
      </c>
      <c r="X6" s="58"/>
      <c r="Y6" s="141">
        <f t="shared" si="6"/>
        <v>0</v>
      </c>
      <c r="Z6" s="142">
        <f t="shared" si="7"/>
        <v>0</v>
      </c>
      <c r="AA6" s="55" t="str">
        <f t="shared" si="8"/>
        <v/>
      </c>
      <c r="AB6" s="187"/>
      <c r="AC6" s="180"/>
      <c r="AD6" s="188"/>
      <c r="AE6" s="189"/>
      <c r="AF6" s="56"/>
      <c r="AG6" s="56"/>
    </row>
    <row r="7" spans="1:33" ht="15.9" customHeight="1" thickTop="1" thickBot="1">
      <c r="A7" s="57" t="s">
        <v>148</v>
      </c>
      <c r="B7" s="58"/>
      <c r="C7" s="141">
        <f t="shared" si="0"/>
        <v>0</v>
      </c>
      <c r="D7" s="142">
        <f t="shared" si="1"/>
        <v>0</v>
      </c>
      <c r="E7" s="55" t="str">
        <f t="shared" si="2"/>
        <v/>
      </c>
      <c r="F7" s="187"/>
      <c r="G7" s="180"/>
      <c r="H7" s="188"/>
      <c r="I7" s="55" t="s">
        <v>149</v>
      </c>
      <c r="J7" s="56"/>
      <c r="K7" s="56"/>
      <c r="L7" s="57" t="s">
        <v>148</v>
      </c>
      <c r="M7" s="58"/>
      <c r="N7" s="141">
        <f t="shared" si="3"/>
        <v>0</v>
      </c>
      <c r="O7" s="142">
        <f t="shared" si="4"/>
        <v>0</v>
      </c>
      <c r="P7" s="55" t="str">
        <f t="shared" si="5"/>
        <v/>
      </c>
      <c r="Q7" s="187"/>
      <c r="R7" s="180"/>
      <c r="S7" s="188"/>
      <c r="T7" s="189"/>
      <c r="U7" s="56"/>
      <c r="V7" s="56"/>
      <c r="W7" s="57" t="s">
        <v>148</v>
      </c>
      <c r="X7" s="58"/>
      <c r="Y7" s="141">
        <f t="shared" si="6"/>
        <v>0</v>
      </c>
      <c r="Z7" s="142">
        <f t="shared" si="7"/>
        <v>0</v>
      </c>
      <c r="AA7" s="55" t="str">
        <f t="shared" si="8"/>
        <v/>
      </c>
      <c r="AB7" s="187"/>
      <c r="AC7" s="180"/>
      <c r="AD7" s="188"/>
      <c r="AE7" s="189"/>
      <c r="AF7" s="56"/>
      <c r="AG7" s="56"/>
    </row>
    <row r="8" spans="1:33" ht="15.9" customHeight="1" thickTop="1" thickBot="1">
      <c r="A8" s="57" t="s">
        <v>221</v>
      </c>
      <c r="B8" s="58"/>
      <c r="C8" s="141">
        <f t="shared" si="0"/>
        <v>0</v>
      </c>
      <c r="D8" s="142">
        <f t="shared" si="1"/>
        <v>0</v>
      </c>
      <c r="E8" s="55" t="str">
        <f t="shared" si="2"/>
        <v/>
      </c>
      <c r="F8" s="187"/>
      <c r="G8" s="180"/>
      <c r="H8" s="188"/>
      <c r="I8" s="55" t="s">
        <v>154</v>
      </c>
      <c r="J8" s="56"/>
      <c r="K8" s="56"/>
      <c r="L8" s="57" t="s">
        <v>146</v>
      </c>
      <c r="M8" s="58"/>
      <c r="N8" s="141">
        <f t="shared" si="3"/>
        <v>0</v>
      </c>
      <c r="O8" s="142">
        <f t="shared" si="4"/>
        <v>0</v>
      </c>
      <c r="P8" s="55" t="str">
        <f t="shared" si="5"/>
        <v/>
      </c>
      <c r="Q8" s="187"/>
      <c r="R8" s="180"/>
      <c r="S8" s="188"/>
      <c r="T8" s="189"/>
      <c r="U8" s="56"/>
      <c r="V8" s="56"/>
      <c r="W8" s="57" t="s">
        <v>146</v>
      </c>
      <c r="X8" s="58"/>
      <c r="Y8" s="141">
        <f t="shared" si="6"/>
        <v>0</v>
      </c>
      <c r="Z8" s="142">
        <f t="shared" si="7"/>
        <v>0</v>
      </c>
      <c r="AA8" s="55" t="str">
        <f t="shared" si="8"/>
        <v/>
      </c>
      <c r="AB8" s="187"/>
      <c r="AC8" s="180"/>
      <c r="AD8" s="188"/>
      <c r="AE8" s="189"/>
      <c r="AF8" s="56"/>
      <c r="AG8" s="56"/>
    </row>
    <row r="9" spans="1:33" ht="15.9" customHeight="1" thickTop="1" thickBot="1">
      <c r="A9" s="57" t="s">
        <v>150</v>
      </c>
      <c r="B9" s="58"/>
      <c r="C9" s="141">
        <f t="shared" si="0"/>
        <v>0</v>
      </c>
      <c r="D9" s="142">
        <f t="shared" si="1"/>
        <v>0</v>
      </c>
      <c r="E9" s="55" t="str">
        <f t="shared" si="2"/>
        <v/>
      </c>
      <c r="F9" s="187"/>
      <c r="G9" s="180"/>
      <c r="H9" s="188"/>
      <c r="I9" s="55" t="s">
        <v>155</v>
      </c>
      <c r="J9" s="56"/>
      <c r="K9" s="56"/>
      <c r="L9" s="57" t="s">
        <v>153</v>
      </c>
      <c r="M9" s="58"/>
      <c r="N9" s="141">
        <f t="shared" si="3"/>
        <v>0</v>
      </c>
      <c r="O9" s="142">
        <f t="shared" si="4"/>
        <v>0</v>
      </c>
      <c r="P9" s="55" t="str">
        <f t="shared" si="5"/>
        <v/>
      </c>
      <c r="Q9" s="187"/>
      <c r="R9" s="180"/>
      <c r="S9" s="188"/>
      <c r="T9" s="189"/>
      <c r="U9" s="56"/>
      <c r="V9" s="56"/>
      <c r="W9" s="57" t="s">
        <v>153</v>
      </c>
      <c r="X9" s="58"/>
      <c r="Y9" s="141">
        <f t="shared" si="6"/>
        <v>0</v>
      </c>
      <c r="Z9" s="142">
        <f t="shared" si="7"/>
        <v>0</v>
      </c>
      <c r="AA9" s="55" t="str">
        <f t="shared" si="8"/>
        <v/>
      </c>
      <c r="AB9" s="187"/>
      <c r="AC9" s="180"/>
      <c r="AD9" s="188"/>
      <c r="AE9" s="189"/>
      <c r="AF9" s="56"/>
      <c r="AG9" s="56"/>
    </row>
    <row r="10" spans="1:33" ht="15.9" customHeight="1" thickTop="1" thickBot="1">
      <c r="A10" s="60" t="s">
        <v>150</v>
      </c>
      <c r="B10" s="58"/>
      <c r="C10" s="141">
        <f t="shared" si="0"/>
        <v>0</v>
      </c>
      <c r="D10" s="142">
        <f t="shared" si="1"/>
        <v>0</v>
      </c>
      <c r="E10" s="55" t="str">
        <f t="shared" si="2"/>
        <v/>
      </c>
      <c r="F10" s="179"/>
      <c r="G10" s="180"/>
      <c r="H10" s="188"/>
      <c r="I10" s="55" t="s">
        <v>152</v>
      </c>
      <c r="J10" s="56"/>
      <c r="K10" s="56"/>
      <c r="L10" s="60" t="s">
        <v>150</v>
      </c>
      <c r="M10" s="58"/>
      <c r="N10" s="141">
        <f t="shared" si="3"/>
        <v>0</v>
      </c>
      <c r="O10" s="142">
        <f t="shared" si="4"/>
        <v>0</v>
      </c>
      <c r="P10" s="55" t="str">
        <f t="shared" si="5"/>
        <v/>
      </c>
      <c r="Q10" s="179"/>
      <c r="R10" s="180"/>
      <c r="S10" s="188"/>
      <c r="T10" s="189"/>
      <c r="U10" s="56"/>
      <c r="V10" s="56"/>
      <c r="W10" s="60" t="s">
        <v>150</v>
      </c>
      <c r="X10" s="58"/>
      <c r="Y10" s="141">
        <f t="shared" si="6"/>
        <v>0</v>
      </c>
      <c r="Z10" s="142">
        <f t="shared" si="7"/>
        <v>0</v>
      </c>
      <c r="AA10" s="55" t="str">
        <f t="shared" si="8"/>
        <v/>
      </c>
      <c r="AB10" s="179"/>
      <c r="AC10" s="180"/>
      <c r="AD10" s="188"/>
      <c r="AE10" s="189"/>
      <c r="AF10" s="56"/>
      <c r="AG10" s="56"/>
    </row>
    <row r="11" spans="1:33" ht="15.9" customHeight="1" thickTop="1" thickBot="1">
      <c r="A11" s="60" t="s">
        <v>152</v>
      </c>
      <c r="B11" s="58"/>
      <c r="C11" s="141">
        <f t="shared" si="0"/>
        <v>0</v>
      </c>
      <c r="D11" s="142">
        <f t="shared" si="1"/>
        <v>0</v>
      </c>
      <c r="E11" s="55" t="str">
        <f t="shared" si="2"/>
        <v/>
      </c>
      <c r="F11" s="179"/>
      <c r="G11" s="180"/>
      <c r="H11" s="188"/>
      <c r="I11" s="55" t="s">
        <v>221</v>
      </c>
      <c r="J11" s="56"/>
      <c r="K11" s="56"/>
      <c r="L11" s="60" t="s">
        <v>151</v>
      </c>
      <c r="M11" s="58"/>
      <c r="N11" s="141">
        <f t="shared" si="3"/>
        <v>0</v>
      </c>
      <c r="O11" s="142">
        <f t="shared" si="4"/>
        <v>0</v>
      </c>
      <c r="P11" s="55" t="str">
        <f t="shared" si="5"/>
        <v/>
      </c>
      <c r="Q11" s="179"/>
      <c r="R11" s="180"/>
      <c r="S11" s="188"/>
      <c r="T11" s="189"/>
      <c r="U11" s="56"/>
      <c r="V11" s="56"/>
      <c r="W11" s="60" t="s">
        <v>151</v>
      </c>
      <c r="X11" s="58"/>
      <c r="Y11" s="141">
        <f t="shared" si="6"/>
        <v>0</v>
      </c>
      <c r="Z11" s="142">
        <f t="shared" si="7"/>
        <v>0</v>
      </c>
      <c r="AA11" s="55" t="str">
        <f t="shared" si="8"/>
        <v/>
      </c>
      <c r="AB11" s="179"/>
      <c r="AC11" s="180"/>
      <c r="AD11" s="188"/>
      <c r="AE11" s="189"/>
      <c r="AF11" s="56"/>
      <c r="AG11" s="56"/>
    </row>
    <row r="12" spans="1:33" ht="15.9" customHeight="1" thickTop="1" thickBot="1">
      <c r="A12" s="60" t="s">
        <v>152</v>
      </c>
      <c r="B12" s="58"/>
      <c r="C12" s="141">
        <f t="shared" si="0"/>
        <v>0</v>
      </c>
      <c r="D12" s="142">
        <f t="shared" si="1"/>
        <v>0</v>
      </c>
      <c r="E12" s="55" t="str">
        <f t="shared" si="2"/>
        <v/>
      </c>
      <c r="F12" s="179"/>
      <c r="G12" s="180"/>
      <c r="H12" s="188"/>
      <c r="I12" s="189"/>
      <c r="J12" s="56"/>
      <c r="K12" s="56"/>
      <c r="L12" s="60" t="s">
        <v>152</v>
      </c>
      <c r="M12" s="58"/>
      <c r="N12" s="141">
        <f t="shared" si="3"/>
        <v>0</v>
      </c>
      <c r="O12" s="142">
        <f t="shared" si="4"/>
        <v>0</v>
      </c>
      <c r="P12" s="55" t="str">
        <f t="shared" si="5"/>
        <v/>
      </c>
      <c r="Q12" s="179"/>
      <c r="R12" s="180"/>
      <c r="S12" s="188"/>
      <c r="T12" s="189"/>
      <c r="U12" s="56"/>
      <c r="V12" s="56"/>
      <c r="W12" s="60" t="s">
        <v>152</v>
      </c>
      <c r="X12" s="58"/>
      <c r="Y12" s="141">
        <f t="shared" si="6"/>
        <v>0</v>
      </c>
      <c r="Z12" s="142">
        <f t="shared" si="7"/>
        <v>0</v>
      </c>
      <c r="AA12" s="55" t="str">
        <f t="shared" si="8"/>
        <v/>
      </c>
      <c r="AB12" s="179"/>
      <c r="AC12" s="180"/>
      <c r="AD12" s="188"/>
      <c r="AE12" s="189"/>
      <c r="AF12" s="56"/>
      <c r="AG12" s="56"/>
    </row>
    <row r="13" spans="1:33" ht="15.9" customHeight="1" thickTop="1" thickBot="1">
      <c r="A13" s="60" t="s">
        <v>596</v>
      </c>
      <c r="B13" s="58"/>
      <c r="C13" s="141">
        <f t="shared" si="0"/>
        <v>0</v>
      </c>
      <c r="D13" s="142">
        <f t="shared" si="1"/>
        <v>0</v>
      </c>
      <c r="E13" s="55" t="str">
        <f t="shared" si="2"/>
        <v/>
      </c>
      <c r="F13" s="179"/>
      <c r="G13" s="180"/>
      <c r="H13" s="188"/>
      <c r="I13" s="189"/>
      <c r="J13" s="56"/>
      <c r="K13" s="56"/>
      <c r="L13" s="60" t="s">
        <v>190</v>
      </c>
      <c r="M13" s="58"/>
      <c r="N13" s="141">
        <f t="shared" si="3"/>
        <v>0</v>
      </c>
      <c r="O13" s="142">
        <f t="shared" si="4"/>
        <v>0</v>
      </c>
      <c r="P13" s="55" t="str">
        <f t="shared" si="5"/>
        <v/>
      </c>
      <c r="Q13" s="179"/>
      <c r="R13" s="180"/>
      <c r="S13" s="188"/>
      <c r="T13" s="189"/>
      <c r="U13" s="56"/>
      <c r="V13" s="56"/>
      <c r="W13" s="60" t="s">
        <v>190</v>
      </c>
      <c r="X13" s="58"/>
      <c r="Y13" s="141">
        <f t="shared" si="6"/>
        <v>0</v>
      </c>
      <c r="Z13" s="142">
        <f t="shared" si="7"/>
        <v>0</v>
      </c>
      <c r="AA13" s="55" t="str">
        <f t="shared" si="8"/>
        <v/>
      </c>
      <c r="AB13" s="179"/>
      <c r="AC13" s="180"/>
      <c r="AD13" s="188"/>
      <c r="AE13" s="189"/>
      <c r="AF13" s="56"/>
      <c r="AG13" s="56"/>
    </row>
    <row r="14" spans="1:33" ht="15.9" customHeight="1" thickTop="1" thickBot="1">
      <c r="A14" s="60" t="s">
        <v>155</v>
      </c>
      <c r="B14" s="58"/>
      <c r="C14" s="141">
        <f t="shared" si="0"/>
        <v>0</v>
      </c>
      <c r="D14" s="142">
        <f t="shared" si="1"/>
        <v>0</v>
      </c>
      <c r="E14" s="55" t="str">
        <f t="shared" si="2"/>
        <v/>
      </c>
      <c r="F14" s="179"/>
      <c r="G14" s="180"/>
      <c r="H14" s="188"/>
      <c r="I14" s="189"/>
      <c r="J14" s="56"/>
      <c r="K14" s="56"/>
      <c r="L14" s="60" t="s">
        <v>155</v>
      </c>
      <c r="M14" s="58"/>
      <c r="N14" s="141">
        <f t="shared" si="3"/>
        <v>0</v>
      </c>
      <c r="O14" s="142">
        <f t="shared" si="4"/>
        <v>0</v>
      </c>
      <c r="P14" s="55" t="str">
        <f t="shared" si="5"/>
        <v/>
      </c>
      <c r="Q14" s="179"/>
      <c r="R14" s="180"/>
      <c r="S14" s="188"/>
      <c r="T14" s="189"/>
      <c r="U14" s="56"/>
      <c r="V14" s="56"/>
      <c r="W14" s="60" t="s">
        <v>155</v>
      </c>
      <c r="X14" s="58"/>
      <c r="Y14" s="141">
        <f t="shared" si="6"/>
        <v>0</v>
      </c>
      <c r="Z14" s="142">
        <f t="shared" si="7"/>
        <v>0</v>
      </c>
      <c r="AA14" s="55" t="str">
        <f t="shared" si="8"/>
        <v/>
      </c>
      <c r="AB14" s="179"/>
      <c r="AC14" s="180"/>
      <c r="AD14" s="188"/>
      <c r="AE14" s="189"/>
      <c r="AF14" s="56"/>
      <c r="AG14" s="56" t="s">
        <v>184</v>
      </c>
    </row>
    <row r="15" spans="1:33" ht="15.9" customHeight="1" thickTop="1" thickBot="1">
      <c r="A15" s="57" t="s">
        <v>155</v>
      </c>
      <c r="B15" s="58"/>
      <c r="C15" s="141">
        <f t="shared" si="0"/>
        <v>0</v>
      </c>
      <c r="D15" s="142">
        <f t="shared" si="1"/>
        <v>0</v>
      </c>
      <c r="E15" s="55" t="str">
        <f t="shared" si="2"/>
        <v/>
      </c>
      <c r="F15" s="187"/>
      <c r="G15" s="180"/>
      <c r="H15" s="188"/>
      <c r="I15" s="189"/>
      <c r="J15" s="56"/>
      <c r="K15" s="56"/>
      <c r="L15" s="57" t="s">
        <v>155</v>
      </c>
      <c r="M15" s="58"/>
      <c r="N15" s="141">
        <f t="shared" si="3"/>
        <v>0</v>
      </c>
      <c r="O15" s="142">
        <f t="shared" si="4"/>
        <v>0</v>
      </c>
      <c r="P15" s="55" t="str">
        <f t="shared" si="5"/>
        <v/>
      </c>
      <c r="Q15" s="187"/>
      <c r="R15" s="180"/>
      <c r="S15" s="188"/>
      <c r="T15" s="189"/>
      <c r="U15" s="56"/>
      <c r="V15" s="56"/>
      <c r="W15" s="57" t="s">
        <v>155</v>
      </c>
      <c r="X15" s="58"/>
      <c r="Y15" s="141">
        <f t="shared" si="6"/>
        <v>0</v>
      </c>
      <c r="Z15" s="142">
        <f t="shared" si="7"/>
        <v>0</v>
      </c>
      <c r="AA15" s="55" t="str">
        <f t="shared" si="8"/>
        <v/>
      </c>
      <c r="AB15" s="187"/>
      <c r="AC15" s="180"/>
      <c r="AD15" s="188"/>
      <c r="AE15" s="189"/>
      <c r="AF15" s="56"/>
      <c r="AG15" s="56"/>
    </row>
    <row r="16" spans="1:33" ht="15.9" customHeight="1" thickTop="1" thickBot="1">
      <c r="A16" s="60" t="s">
        <v>166</v>
      </c>
      <c r="B16" s="58"/>
      <c r="C16" s="141">
        <f t="shared" si="0"/>
        <v>0</v>
      </c>
      <c r="D16" s="142">
        <f t="shared" si="1"/>
        <v>0</v>
      </c>
      <c r="E16" s="55" t="str">
        <f t="shared" si="2"/>
        <v/>
      </c>
      <c r="F16" s="179"/>
      <c r="G16" s="180"/>
      <c r="H16" s="188"/>
      <c r="I16" s="189"/>
      <c r="J16" s="56"/>
      <c r="K16" s="56"/>
      <c r="L16" s="60" t="s">
        <v>166</v>
      </c>
      <c r="M16" s="58"/>
      <c r="N16" s="141">
        <f t="shared" si="3"/>
        <v>0</v>
      </c>
      <c r="O16" s="142">
        <f t="shared" si="4"/>
        <v>0</v>
      </c>
      <c r="P16" s="55" t="str">
        <f t="shared" si="5"/>
        <v/>
      </c>
      <c r="Q16" s="179"/>
      <c r="R16" s="180"/>
      <c r="S16" s="188"/>
      <c r="T16" s="189"/>
      <c r="U16" s="56"/>
      <c r="V16" s="56"/>
      <c r="W16" s="60" t="s">
        <v>166</v>
      </c>
      <c r="X16" s="58"/>
      <c r="Y16" s="141">
        <f t="shared" si="6"/>
        <v>0</v>
      </c>
      <c r="Z16" s="142">
        <f t="shared" si="7"/>
        <v>0</v>
      </c>
      <c r="AA16" s="55" t="str">
        <f t="shared" si="8"/>
        <v/>
      </c>
      <c r="AB16" s="179"/>
      <c r="AC16" s="180"/>
      <c r="AD16" s="188"/>
      <c r="AE16" s="189"/>
      <c r="AF16" s="56"/>
      <c r="AG16" s="56"/>
    </row>
    <row r="17" spans="1:33" ht="15.9" customHeight="1" thickTop="1" thickBot="1">
      <c r="A17" s="57" t="s">
        <v>154</v>
      </c>
      <c r="B17" s="58"/>
      <c r="C17" s="141">
        <f t="shared" si="0"/>
        <v>0</v>
      </c>
      <c r="D17" s="142">
        <f t="shared" si="1"/>
        <v>0</v>
      </c>
      <c r="E17" s="55" t="str">
        <f t="shared" si="2"/>
        <v/>
      </c>
      <c r="F17" s="187"/>
      <c r="G17" s="180"/>
      <c r="H17" s="188"/>
      <c r="I17" s="189"/>
      <c r="J17" s="56"/>
      <c r="K17" s="56"/>
      <c r="L17" s="57" t="s">
        <v>154</v>
      </c>
      <c r="M17" s="58"/>
      <c r="N17" s="141">
        <f t="shared" si="3"/>
        <v>0</v>
      </c>
      <c r="O17" s="142">
        <f t="shared" si="4"/>
        <v>0</v>
      </c>
      <c r="P17" s="55" t="str">
        <f t="shared" si="5"/>
        <v/>
      </c>
      <c r="Q17" s="187"/>
      <c r="R17" s="180"/>
      <c r="S17" s="188"/>
      <c r="T17" s="189"/>
      <c r="U17" s="56"/>
      <c r="V17" s="56"/>
      <c r="W17" s="57" t="s">
        <v>154</v>
      </c>
      <c r="X17" s="58"/>
      <c r="Y17" s="141">
        <f t="shared" si="6"/>
        <v>0</v>
      </c>
      <c r="Z17" s="142">
        <f t="shared" si="7"/>
        <v>0</v>
      </c>
      <c r="AA17" s="55" t="str">
        <f t="shared" si="8"/>
        <v/>
      </c>
      <c r="AB17" s="187"/>
      <c r="AC17" s="180"/>
      <c r="AD17" s="188"/>
      <c r="AE17" s="189"/>
      <c r="AF17" s="56"/>
      <c r="AG17" s="56"/>
    </row>
    <row r="18" spans="1:33" ht="15.9" customHeight="1" thickTop="1" thickBot="1">
      <c r="A18" s="57" t="s">
        <v>154</v>
      </c>
      <c r="B18" s="58"/>
      <c r="C18" s="141">
        <f t="shared" si="0"/>
        <v>0</v>
      </c>
      <c r="D18" s="142">
        <f t="shared" si="1"/>
        <v>0</v>
      </c>
      <c r="E18" s="55" t="str">
        <f t="shared" si="2"/>
        <v/>
      </c>
      <c r="F18" s="187"/>
      <c r="G18" s="180"/>
      <c r="H18" s="188"/>
      <c r="I18" s="189"/>
      <c r="J18" s="56"/>
      <c r="K18" s="56"/>
      <c r="L18" s="57" t="s">
        <v>154</v>
      </c>
      <c r="M18" s="58"/>
      <c r="N18" s="141">
        <f t="shared" si="3"/>
        <v>0</v>
      </c>
      <c r="O18" s="142">
        <f t="shared" si="4"/>
        <v>0</v>
      </c>
      <c r="P18" s="55" t="str">
        <f t="shared" si="5"/>
        <v/>
      </c>
      <c r="Q18" s="187"/>
      <c r="R18" s="180"/>
      <c r="S18" s="188"/>
      <c r="T18" s="189"/>
      <c r="U18" s="56"/>
      <c r="V18" s="56"/>
      <c r="W18" s="57" t="s">
        <v>154</v>
      </c>
      <c r="X18" s="58"/>
      <c r="Y18" s="141">
        <f t="shared" si="6"/>
        <v>0</v>
      </c>
      <c r="Z18" s="142">
        <f t="shared" si="7"/>
        <v>0</v>
      </c>
      <c r="AA18" s="55" t="str">
        <f t="shared" si="8"/>
        <v/>
      </c>
      <c r="AB18" s="187"/>
      <c r="AC18" s="180"/>
      <c r="AD18" s="188"/>
      <c r="AE18" s="189"/>
      <c r="AF18" s="56"/>
      <c r="AG18" s="56"/>
    </row>
    <row r="19" spans="1:33" ht="15.9" customHeight="1" thickTop="1" thickBot="1">
      <c r="A19" s="57" t="s">
        <v>154</v>
      </c>
      <c r="B19" s="58"/>
      <c r="C19" s="141">
        <f t="shared" si="0"/>
        <v>0</v>
      </c>
      <c r="D19" s="142">
        <f t="shared" si="1"/>
        <v>0</v>
      </c>
      <c r="E19" s="55" t="str">
        <f t="shared" si="2"/>
        <v/>
      </c>
      <c r="F19" s="187"/>
      <c r="G19" s="180"/>
      <c r="H19" s="188"/>
      <c r="I19" s="189"/>
      <c r="J19" s="56"/>
      <c r="K19" s="56"/>
      <c r="L19" s="57" t="s">
        <v>154</v>
      </c>
      <c r="M19" s="58"/>
      <c r="N19" s="141">
        <f t="shared" si="3"/>
        <v>0</v>
      </c>
      <c r="O19" s="142">
        <f t="shared" si="4"/>
        <v>0</v>
      </c>
      <c r="P19" s="55" t="str">
        <f t="shared" si="5"/>
        <v/>
      </c>
      <c r="Q19" s="187"/>
      <c r="R19" s="180"/>
      <c r="S19" s="188"/>
      <c r="T19" s="189"/>
      <c r="U19" s="56"/>
      <c r="V19" s="56"/>
      <c r="W19" s="57" t="s">
        <v>154</v>
      </c>
      <c r="X19" s="58"/>
      <c r="Y19" s="141">
        <f t="shared" si="6"/>
        <v>0</v>
      </c>
      <c r="Z19" s="142">
        <f t="shared" si="7"/>
        <v>0</v>
      </c>
      <c r="AA19" s="55" t="str">
        <f t="shared" si="8"/>
        <v/>
      </c>
      <c r="AB19" s="187"/>
      <c r="AC19" s="180"/>
      <c r="AD19" s="188"/>
      <c r="AE19" s="189"/>
      <c r="AF19" s="56"/>
      <c r="AG19" s="56"/>
    </row>
    <row r="20" spans="1:33" ht="15.9" customHeight="1" thickTop="1" thickBot="1">
      <c r="A20" s="61" t="s">
        <v>160</v>
      </c>
      <c r="B20" s="62">
        <f>SUM(B4:B19)</f>
        <v>0</v>
      </c>
      <c r="C20" s="63">
        <f>SUM(C4:C19)</f>
        <v>0</v>
      </c>
      <c r="D20" s="64">
        <f>SUM(D4:D19)</f>
        <v>0</v>
      </c>
      <c r="E20" s="64">
        <f>SUM(E4:E19)</f>
        <v>0</v>
      </c>
      <c r="F20" s="183"/>
      <c r="G20" s="184"/>
      <c r="H20" s="185"/>
      <c r="I20" s="186"/>
      <c r="J20" s="186"/>
      <c r="K20" s="66"/>
      <c r="L20" s="61" t="s">
        <v>160</v>
      </c>
      <c r="M20" s="62">
        <f>SUM(M4:M19)</f>
        <v>0</v>
      </c>
      <c r="N20" s="63">
        <f>SUM(N4:N19)</f>
        <v>0</v>
      </c>
      <c r="O20" s="64">
        <f>SUM(O4:O19)</f>
        <v>0</v>
      </c>
      <c r="P20" s="64">
        <f>SUM(P4:P19)</f>
        <v>0</v>
      </c>
      <c r="Q20" s="183"/>
      <c r="R20" s="184"/>
      <c r="S20" s="185"/>
      <c r="T20" s="186"/>
      <c r="U20" s="186"/>
      <c r="V20" s="66"/>
      <c r="W20" s="61" t="s">
        <v>160</v>
      </c>
      <c r="X20" s="62">
        <f>SUM(X4:X19)</f>
        <v>0</v>
      </c>
      <c r="Y20" s="63">
        <f>SUM(Y4:Y19)</f>
        <v>0</v>
      </c>
      <c r="Z20" s="64">
        <f>SUM(Z4:Z19)</f>
        <v>0</v>
      </c>
      <c r="AA20" s="64">
        <f>SUM(AA4:AA19)</f>
        <v>0</v>
      </c>
      <c r="AB20" s="183"/>
      <c r="AC20" s="184"/>
      <c r="AD20" s="185"/>
      <c r="AE20" s="186"/>
      <c r="AF20" s="186"/>
      <c r="AG20" s="66"/>
    </row>
    <row r="21" spans="1:33" ht="42.75" customHeight="1" thickTop="1" thickBot="1">
      <c r="A21" s="109"/>
      <c r="B21" s="156"/>
      <c r="C21" s="110" t="s">
        <v>268</v>
      </c>
      <c r="D21" s="110"/>
      <c r="E21" s="158"/>
      <c r="F21" s="131" t="s">
        <v>230</v>
      </c>
      <c r="G21" s="118"/>
      <c r="H21" s="110" t="s">
        <v>201</v>
      </c>
      <c r="I21" s="110"/>
      <c r="J21" s="120" t="s">
        <v>271</v>
      </c>
      <c r="K21" s="115" t="s">
        <v>280</v>
      </c>
      <c r="L21" s="190"/>
      <c r="M21" s="143"/>
      <c r="N21" s="110" t="s">
        <v>267</v>
      </c>
      <c r="O21" s="110"/>
      <c r="P21" s="119"/>
      <c r="Q21" s="110"/>
      <c r="R21" s="118"/>
      <c r="S21" s="110" t="s">
        <v>225</v>
      </c>
      <c r="T21" s="116"/>
      <c r="U21" s="115" t="s">
        <v>274</v>
      </c>
      <c r="V21" s="115" t="s">
        <v>275</v>
      </c>
      <c r="W21" s="190"/>
      <c r="X21" s="143"/>
      <c r="Y21" s="110" t="s">
        <v>340</v>
      </c>
      <c r="Z21" s="110"/>
      <c r="AA21" s="119"/>
      <c r="AB21" s="110"/>
      <c r="AC21" s="118"/>
      <c r="AD21" s="110" t="s">
        <v>342</v>
      </c>
      <c r="AE21" s="116"/>
      <c r="AF21" s="115" t="s">
        <v>343</v>
      </c>
      <c r="AG21" s="115" t="s">
        <v>344</v>
      </c>
    </row>
    <row r="22" spans="1:33" ht="15.9" customHeight="1" thickTop="1" thickBot="1">
      <c r="A22" s="157"/>
      <c r="B22" s="155"/>
      <c r="C22" s="123">
        <f>C20</f>
        <v>0</v>
      </c>
      <c r="D22" s="124"/>
      <c r="E22" s="125"/>
      <c r="F22" s="159">
        <f>ROUNDUP(A24/110,0)</f>
        <v>0</v>
      </c>
      <c r="G22" s="155"/>
      <c r="H22" s="67">
        <f>B20</f>
        <v>0</v>
      </c>
      <c r="I22" s="126"/>
      <c r="J22" s="107">
        <f>E20</f>
        <v>0</v>
      </c>
      <c r="K22" s="122">
        <f>IF(OR(E20&gt;0),1,0)</f>
        <v>0</v>
      </c>
      <c r="L22" s="71"/>
      <c r="M22" s="58"/>
      <c r="N22" s="127">
        <f>N20</f>
        <v>0</v>
      </c>
      <c r="O22" s="124"/>
      <c r="P22" s="125"/>
      <c r="Q22" s="67"/>
      <c r="R22" s="105"/>
      <c r="S22" s="67">
        <f>M20</f>
        <v>0</v>
      </c>
      <c r="T22" s="129"/>
      <c r="U22" s="107">
        <f>P20</f>
        <v>0</v>
      </c>
      <c r="V22" s="107">
        <f>IF(OR(P20&gt;0),1,0)</f>
        <v>0</v>
      </c>
      <c r="W22" s="71"/>
      <c r="X22" s="58"/>
      <c r="Y22" s="127">
        <f>Y20</f>
        <v>0</v>
      </c>
      <c r="Z22" s="124"/>
      <c r="AA22" s="125"/>
      <c r="AB22" s="67"/>
      <c r="AC22" s="105"/>
      <c r="AD22" s="67">
        <f>X20</f>
        <v>0</v>
      </c>
      <c r="AE22" s="129"/>
      <c r="AF22" s="107">
        <f>AA20</f>
        <v>0</v>
      </c>
      <c r="AG22" s="107">
        <f>IF(OR(AA20&gt;0),1,0)</f>
        <v>0</v>
      </c>
    </row>
    <row r="23" spans="1:33" ht="52.2" thickTop="1" thickBot="1">
      <c r="A23" s="231" t="s">
        <v>359</v>
      </c>
      <c r="B23" s="131"/>
      <c r="C23" s="115" t="s">
        <v>347</v>
      </c>
      <c r="D23" s="114" t="s">
        <v>279</v>
      </c>
      <c r="E23" s="131"/>
      <c r="F23" s="131"/>
      <c r="G23" s="115" t="s">
        <v>374</v>
      </c>
      <c r="H23" s="115" t="s">
        <v>210</v>
      </c>
      <c r="I23" s="138" t="s">
        <v>323</v>
      </c>
      <c r="J23" s="113" t="s">
        <v>205</v>
      </c>
      <c r="K23" s="116"/>
      <c r="L23" s="116"/>
      <c r="M23" s="117"/>
      <c r="N23" s="121"/>
      <c r="O23" s="118" t="s">
        <v>228</v>
      </c>
      <c r="P23" s="118"/>
      <c r="Q23" s="118"/>
      <c r="R23" s="116"/>
      <c r="S23" s="115" t="s">
        <v>211</v>
      </c>
      <c r="T23" s="116"/>
      <c r="U23" s="113" t="s">
        <v>194</v>
      </c>
      <c r="V23" s="116"/>
      <c r="W23" s="116"/>
      <c r="X23" s="117"/>
      <c r="Y23" s="121"/>
      <c r="Z23" s="118" t="s">
        <v>341</v>
      </c>
      <c r="AA23" s="118"/>
      <c r="AB23" s="118"/>
      <c r="AC23" s="116"/>
      <c r="AD23" s="115" t="s">
        <v>346</v>
      </c>
      <c r="AE23" s="116"/>
      <c r="AF23" s="113" t="s">
        <v>345</v>
      </c>
      <c r="AG23" s="116"/>
    </row>
    <row r="24" spans="1:33" ht="17.25" customHeight="1" thickTop="1" thickBot="1">
      <c r="A24" s="128">
        <f>B20+M20+X20</f>
        <v>0</v>
      </c>
      <c r="B24" s="173"/>
      <c r="C24" s="133">
        <f>(ROUNDUP((C20+N20+Y20)/100,0)*100)</f>
        <v>0</v>
      </c>
      <c r="D24" s="129">
        <f>(ROUNDUP(10*H$22/90,0)*100)</f>
        <v>0</v>
      </c>
      <c r="E24" s="132"/>
      <c r="F24" s="132"/>
      <c r="G24" s="107">
        <f>(ROUNDUP(A24*1.2/25,0))</f>
        <v>0</v>
      </c>
      <c r="H24" s="107">
        <f>IF(E20&gt;0,D20,0)</f>
        <v>0</v>
      </c>
      <c r="I24" s="139">
        <f>J24+U24+AF24</f>
        <v>0</v>
      </c>
      <c r="J24" s="140">
        <f>D20</f>
        <v>0</v>
      </c>
      <c r="K24" s="129"/>
      <c r="L24" s="128"/>
      <c r="M24" s="25"/>
      <c r="N24" s="25"/>
      <c r="O24" s="129">
        <f>(ROUNDUP(10*S$22/120,0)*120)</f>
        <v>0</v>
      </c>
      <c r="P24" s="130"/>
      <c r="Q24" s="130"/>
      <c r="R24" s="106"/>
      <c r="S24" s="107">
        <f>IF(P20&gt;0,O20,0)</f>
        <v>0</v>
      </c>
      <c r="T24" s="129"/>
      <c r="U24" s="140">
        <f>O20</f>
        <v>0</v>
      </c>
      <c r="V24" s="129"/>
      <c r="W24" s="128"/>
      <c r="X24" s="25"/>
      <c r="Y24" s="25"/>
      <c r="Z24" s="129">
        <f>(ROUNDUP(10*AD$22/120,0)*120)</f>
        <v>0</v>
      </c>
      <c r="AA24" s="130"/>
      <c r="AB24" s="130"/>
      <c r="AC24" s="106"/>
      <c r="AD24" s="107">
        <f>IF(AA20&gt;0,Z20,0)</f>
        <v>0</v>
      </c>
      <c r="AE24" s="129"/>
      <c r="AF24" s="140">
        <f>Z20</f>
        <v>0</v>
      </c>
      <c r="AG24" s="129"/>
    </row>
    <row r="25" spans="1:33" ht="15" thickTop="1">
      <c r="C25" s="5"/>
    </row>
    <row r="26" spans="1:33" ht="33.75" customHeight="1">
      <c r="E26" t="s">
        <v>184</v>
      </c>
    </row>
    <row r="27" spans="1:33">
      <c r="W27" s="46"/>
      <c r="X27" s="536"/>
      <c r="Y27" s="536"/>
      <c r="Z27" s="536"/>
      <c r="AA27" s="536"/>
      <c r="AB27" s="536"/>
    </row>
    <row r="28" spans="1:33" ht="33.75" customHeight="1">
      <c r="W28" s="46"/>
      <c r="X28" s="46"/>
      <c r="Y28" s="46"/>
      <c r="Z28" s="46"/>
      <c r="AA28" s="46"/>
      <c r="AB28" s="46"/>
    </row>
    <row r="29" spans="1:33" ht="34.5" customHeight="1">
      <c r="W29" s="46"/>
      <c r="X29" s="46"/>
      <c r="Y29" s="46"/>
      <c r="Z29" s="46"/>
      <c r="AA29" s="46"/>
      <c r="AB29" s="46"/>
    </row>
    <row r="30" spans="1:33">
      <c r="W30" s="46"/>
      <c r="X30" s="46"/>
      <c r="Y30" s="46"/>
      <c r="Z30" s="46"/>
      <c r="AA30" s="46"/>
      <c r="AB30" s="46"/>
    </row>
    <row r="189" spans="12:12">
      <c r="L189" t="s">
        <v>171</v>
      </c>
    </row>
  </sheetData>
  <mergeCells count="10">
    <mergeCell ref="AB2:AF2"/>
    <mergeCell ref="X27:AB27"/>
    <mergeCell ref="A1:E1"/>
    <mergeCell ref="L1:P1"/>
    <mergeCell ref="W1:AA1"/>
    <mergeCell ref="A2:E2"/>
    <mergeCell ref="F2:J2"/>
    <mergeCell ref="L2:P2"/>
    <mergeCell ref="Q2:U2"/>
    <mergeCell ref="W2:AA2"/>
  </mergeCells>
  <conditionalFormatting sqref="J24">
    <cfRule type="cellIs" dxfId="2" priority="3" operator="greaterThan">
      <formula>15</formula>
    </cfRule>
    <cfRule type="cellIs" priority="4" operator="greaterThan">
      <formula>15</formula>
    </cfRule>
  </conditionalFormatting>
  <conditionalFormatting sqref="U24">
    <cfRule type="cellIs" dxfId="1" priority="2" operator="greaterThan">
      <formula>15</formula>
    </cfRule>
  </conditionalFormatting>
  <conditionalFormatting sqref="AF24">
    <cfRule type="cellIs" dxfId="0" priority="1" operator="greaterThan">
      <formula>15</formula>
    </cfRule>
  </conditionalFormatting>
  <pageMargins left="0.70866141732283505" right="0.23622047244094499" top="1.14173228346457" bottom="1.1599999999999999" header="0.196850393700787" footer="0.15748031496063"/>
  <pageSetup paperSize="9" scale="83" orientation="portrait" r:id="rId1"/>
  <headerFooter scaleWithDoc="0" alignWithMargins="0">
    <oddHeader>&amp;L&amp;G&amp;R&amp;G</oddHeader>
    <oddFooter xml:space="preserve">&amp;L
RO33404978
J40/8589/2014
RO56INGB0000999915150915
ING BANK NV&amp;CStr. Învingătorilor nr. 27, Sector 3, București
Tel :  (+4) 0314.361.836
Mobil:  (+4) 0724.204.888
             (+4) 0766.367.287&amp;REmail: 
comercial@magnumheating.ro
</oddFooter>
  </headerFooter>
  <colBreaks count="1" manualBreakCount="1">
    <brk id="3" max="1048575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FF69F4-E739-4ACC-AAF1-BBF11C32088B}">
  <sheetPr>
    <tabColor rgb="FFFF0000"/>
  </sheetPr>
  <dimension ref="A2:X243"/>
  <sheetViews>
    <sheetView zoomScaleNormal="100" zoomScaleSheetLayoutView="100" workbookViewId="0">
      <selection activeCell="M29" sqref="M29"/>
    </sheetView>
  </sheetViews>
  <sheetFormatPr defaultRowHeight="14.4"/>
  <cols>
    <col min="1" max="1" width="4.6640625" customWidth="1"/>
    <col min="2" max="2" width="13.6640625" customWidth="1"/>
    <col min="3" max="3" width="57.77734375" customWidth="1"/>
    <col min="4" max="4" width="5.88671875" customWidth="1"/>
    <col min="5" max="5" width="6" customWidth="1"/>
    <col min="6" max="6" width="11.33203125" customWidth="1"/>
    <col min="7" max="7" width="11.5546875" customWidth="1"/>
    <col min="8" max="8" width="9.109375" style="244"/>
    <col min="9" max="9" width="8.88671875" customWidth="1"/>
    <col min="10" max="10" width="14" customWidth="1"/>
    <col min="15" max="15" width="10.5546875" customWidth="1"/>
    <col min="16" max="16" width="13.5546875" customWidth="1"/>
    <col min="17" max="17" width="16.109375" customWidth="1"/>
    <col min="18" max="18" width="8.5546875" customWidth="1"/>
    <col min="20" max="20" width="7.109375" customWidth="1"/>
    <col min="21" max="21" width="11.44140625" customWidth="1"/>
    <col min="22" max="22" width="13.5546875" customWidth="1"/>
    <col min="23" max="23" width="15.6640625" customWidth="1"/>
    <col min="24" max="24" width="14.109375" customWidth="1"/>
    <col min="25" max="25" width="14.88671875" customWidth="1"/>
  </cols>
  <sheetData>
    <row r="2" spans="1:17">
      <c r="A2" s="529" t="s">
        <v>597</v>
      </c>
      <c r="B2" s="530"/>
      <c r="C2" s="530"/>
    </row>
    <row r="3" spans="1:17">
      <c r="A3" s="1"/>
    </row>
    <row r="4" spans="1:17">
      <c r="A4" s="529" t="s">
        <v>168</v>
      </c>
      <c r="B4" s="530"/>
      <c r="C4" s="530"/>
    </row>
    <row r="5" spans="1:17">
      <c r="A5" s="529" t="s">
        <v>176</v>
      </c>
      <c r="B5" s="530"/>
      <c r="C5" s="530"/>
    </row>
    <row r="6" spans="1:17">
      <c r="A6" s="529" t="s">
        <v>91</v>
      </c>
      <c r="B6" s="530"/>
      <c r="C6" s="530"/>
    </row>
    <row r="7" spans="1:17">
      <c r="A7" s="529" t="s">
        <v>82</v>
      </c>
      <c r="B7" s="530"/>
      <c r="C7" s="530"/>
    </row>
    <row r="8" spans="1:17">
      <c r="A8" s="529" t="s">
        <v>172</v>
      </c>
      <c r="B8" s="530"/>
      <c r="C8" s="530"/>
    </row>
    <row r="10" spans="1:17" ht="18.75" customHeight="1">
      <c r="A10" s="545" t="s">
        <v>0</v>
      </c>
      <c r="B10" s="545"/>
      <c r="C10" s="545"/>
      <c r="D10" s="545"/>
      <c r="E10" s="545"/>
      <c r="F10" s="545"/>
      <c r="G10" s="545"/>
      <c r="H10" s="246"/>
      <c r="I10" s="4"/>
      <c r="J10" s="5"/>
      <c r="K10" s="5"/>
      <c r="L10" s="5"/>
      <c r="M10" s="5"/>
      <c r="N10" s="5"/>
      <c r="O10" s="5"/>
      <c r="P10" s="5"/>
      <c r="Q10" s="5"/>
    </row>
    <row r="11" spans="1:17" ht="27.9" customHeight="1">
      <c r="A11" s="524" t="s">
        <v>387</v>
      </c>
      <c r="B11" s="524"/>
      <c r="C11" s="524"/>
      <c r="D11" s="524"/>
      <c r="E11" s="524"/>
      <c r="F11" s="524"/>
      <c r="G11" s="524"/>
      <c r="H11" s="246"/>
      <c r="I11" s="4"/>
      <c r="J11" s="5"/>
      <c r="K11" s="5"/>
      <c r="L11" s="5"/>
      <c r="M11" s="5"/>
      <c r="N11" s="5"/>
      <c r="O11" s="5"/>
      <c r="P11" s="5"/>
      <c r="Q11" s="5"/>
    </row>
    <row r="12" spans="1:17" ht="27.9" customHeight="1">
      <c r="A12" s="4"/>
      <c r="B12" s="4"/>
      <c r="C12" s="4"/>
      <c r="D12" s="4"/>
      <c r="E12" s="4"/>
      <c r="F12" s="4"/>
      <c r="G12" s="4"/>
      <c r="H12" s="246"/>
      <c r="I12" s="4"/>
      <c r="J12" s="5"/>
      <c r="K12" s="5"/>
      <c r="L12" s="5"/>
      <c r="M12" s="5"/>
      <c r="N12" s="5"/>
      <c r="O12" s="5"/>
      <c r="P12" s="5"/>
      <c r="Q12" s="5"/>
    </row>
    <row r="13" spans="1:17" ht="27.9" customHeight="1">
      <c r="A13" s="4"/>
      <c r="B13" s="4"/>
      <c r="C13" s="4"/>
      <c r="D13" s="4"/>
      <c r="E13" s="4"/>
      <c r="F13" s="4"/>
      <c r="G13" s="4"/>
      <c r="H13" s="246"/>
      <c r="I13" s="4"/>
      <c r="J13" s="5"/>
      <c r="K13" s="5"/>
      <c r="L13" s="5"/>
      <c r="M13" s="5"/>
      <c r="N13" s="5"/>
      <c r="O13" s="5"/>
      <c r="P13" s="5"/>
      <c r="Q13" s="5"/>
    </row>
    <row r="14" spans="1:17">
      <c r="A14" s="4"/>
      <c r="B14" s="4"/>
      <c r="C14" s="4"/>
      <c r="D14" s="4"/>
      <c r="E14" s="4"/>
      <c r="F14" s="4"/>
      <c r="G14" s="4"/>
      <c r="H14" s="246"/>
      <c r="I14" s="4"/>
      <c r="J14" s="5"/>
      <c r="K14" s="5"/>
      <c r="L14" s="5"/>
      <c r="M14" s="5"/>
      <c r="N14" s="5"/>
      <c r="O14" s="5"/>
      <c r="P14" s="5"/>
      <c r="Q14" s="5"/>
    </row>
    <row r="15" spans="1:17" ht="32.25" customHeight="1">
      <c r="A15" s="4"/>
      <c r="B15" s="4"/>
      <c r="C15" s="4"/>
      <c r="D15" s="4"/>
      <c r="E15" s="4"/>
      <c r="F15" s="4"/>
      <c r="G15" s="4"/>
      <c r="H15" s="246"/>
      <c r="I15" s="4"/>
      <c r="J15" s="5"/>
      <c r="K15" s="5"/>
      <c r="L15" s="5"/>
      <c r="M15" s="5"/>
      <c r="N15" s="5"/>
      <c r="O15" s="5"/>
      <c r="P15" s="5"/>
      <c r="Q15" s="5"/>
    </row>
    <row r="16" spans="1:17" ht="32.25" customHeight="1">
      <c r="A16" s="4"/>
      <c r="B16" s="4"/>
      <c r="C16" s="4"/>
      <c r="D16" s="4"/>
      <c r="E16" s="4"/>
      <c r="F16" s="4"/>
      <c r="G16" s="4"/>
      <c r="H16" s="246"/>
      <c r="I16" s="4"/>
      <c r="J16" s="5"/>
      <c r="K16" s="5"/>
      <c r="L16" s="5"/>
      <c r="M16" s="5"/>
      <c r="N16" s="5"/>
      <c r="O16" s="5"/>
      <c r="P16" s="5"/>
      <c r="Q16" s="5"/>
    </row>
    <row r="17" spans="1:17" ht="21" customHeight="1">
      <c r="A17" s="4"/>
      <c r="B17" s="4"/>
      <c r="C17" s="4"/>
      <c r="D17" s="4"/>
      <c r="E17" s="4"/>
      <c r="F17" s="4"/>
      <c r="G17" s="4"/>
      <c r="H17" s="246"/>
      <c r="I17" s="4"/>
      <c r="J17" s="5"/>
      <c r="K17" s="5"/>
      <c r="L17" s="5"/>
      <c r="M17" s="5"/>
      <c r="N17" s="5"/>
      <c r="O17" s="5"/>
      <c r="P17" s="5"/>
      <c r="Q17" s="5"/>
    </row>
    <row r="18" spans="1:17" ht="21.6" thickBot="1">
      <c r="A18" s="525" t="s">
        <v>140</v>
      </c>
      <c r="B18" s="526"/>
      <c r="C18" s="526"/>
      <c r="D18" s="526"/>
      <c r="E18" s="526"/>
      <c r="F18" s="526"/>
      <c r="G18" s="526"/>
      <c r="H18" s="247"/>
      <c r="I18" s="5"/>
      <c r="J18" s="5"/>
      <c r="K18" s="5"/>
      <c r="L18" s="5"/>
      <c r="M18" s="5"/>
      <c r="N18" s="5"/>
      <c r="O18" s="5"/>
      <c r="P18" s="5"/>
      <c r="Q18" s="5"/>
    </row>
    <row r="19" spans="1:17" ht="18.75" customHeight="1" thickTop="1">
      <c r="A19" s="6" t="s">
        <v>1</v>
      </c>
      <c r="B19" s="518" t="s">
        <v>3</v>
      </c>
      <c r="C19" s="518" t="s">
        <v>4</v>
      </c>
      <c r="D19" s="518" t="s">
        <v>5</v>
      </c>
      <c r="E19" s="518" t="s">
        <v>6</v>
      </c>
      <c r="F19" s="7" t="s">
        <v>7</v>
      </c>
      <c r="G19" s="8" t="s">
        <v>9</v>
      </c>
      <c r="H19" s="247"/>
      <c r="I19" s="5"/>
      <c r="J19" s="5"/>
      <c r="K19" s="5"/>
      <c r="L19" s="5"/>
      <c r="M19" s="5"/>
      <c r="N19" s="5"/>
      <c r="O19" s="5"/>
      <c r="P19" s="5"/>
      <c r="Q19" s="5"/>
    </row>
    <row r="20" spans="1:17" ht="26.25" customHeight="1" thickBot="1">
      <c r="A20" s="17" t="s">
        <v>2</v>
      </c>
      <c r="B20" s="527"/>
      <c r="C20" s="527"/>
      <c r="D20" s="527"/>
      <c r="E20" s="527"/>
      <c r="F20" s="18" t="s">
        <v>8</v>
      </c>
      <c r="G20" s="19" t="s">
        <v>8</v>
      </c>
      <c r="H20" s="247"/>
      <c r="I20" s="5"/>
      <c r="J20" s="5"/>
      <c r="K20" s="5"/>
      <c r="L20" s="5"/>
      <c r="M20" s="5"/>
      <c r="N20" s="5"/>
      <c r="O20" s="5"/>
      <c r="P20" s="5"/>
      <c r="Q20" s="5"/>
    </row>
    <row r="21" spans="1:17" ht="20.55" customHeight="1" thickTop="1" thickBot="1">
      <c r="A21" s="562" t="s">
        <v>392</v>
      </c>
      <c r="B21" s="532"/>
      <c r="C21" s="532"/>
      <c r="D21" s="317"/>
      <c r="E21" s="317"/>
      <c r="F21" s="317"/>
      <c r="G21" s="275"/>
      <c r="H21" s="252">
        <f>SUM(H22)</f>
        <v>0</v>
      </c>
      <c r="I21" s="5"/>
      <c r="J21" s="5"/>
      <c r="K21" s="5"/>
      <c r="L21" s="5"/>
      <c r="M21" s="5"/>
      <c r="N21" s="5"/>
      <c r="O21" s="5"/>
      <c r="P21" s="5"/>
      <c r="Q21" s="5"/>
    </row>
    <row r="22" spans="1:17" ht="28.05" customHeight="1" thickTop="1" thickBot="1">
      <c r="A22" s="266"/>
      <c r="B22" s="320" t="s">
        <v>10</v>
      </c>
      <c r="C22" s="321" t="s">
        <v>80</v>
      </c>
      <c r="D22" s="320" t="s">
        <v>13</v>
      </c>
      <c r="E22" s="320"/>
      <c r="F22" s="287">
        <v>174</v>
      </c>
      <c r="G22" s="323">
        <f>E22*F22</f>
        <v>0</v>
      </c>
      <c r="H22" s="248">
        <f>E22</f>
        <v>0</v>
      </c>
      <c r="I22" s="5"/>
      <c r="J22" s="5"/>
      <c r="K22" s="5"/>
      <c r="L22" s="5"/>
      <c r="M22" s="5"/>
      <c r="N22" s="5"/>
      <c r="O22" s="5"/>
      <c r="P22" s="5"/>
      <c r="Q22" s="5"/>
    </row>
    <row r="23" spans="1:17" s="353" customFormat="1" ht="16.05" customHeight="1" thickBot="1">
      <c r="A23" s="357"/>
      <c r="B23" s="358">
        <v>430030</v>
      </c>
      <c r="C23" s="359" t="s">
        <v>430</v>
      </c>
      <c r="D23" s="360" t="s">
        <v>11</v>
      </c>
      <c r="E23" s="361"/>
      <c r="F23" s="362">
        <v>85</v>
      </c>
      <c r="G23" s="363">
        <f t="shared" ref="G23" si="0">E23*F23</f>
        <v>0</v>
      </c>
      <c r="H23" s="300">
        <f t="shared" ref="H23" si="1">E23</f>
        <v>0</v>
      </c>
      <c r="I23" s="341"/>
      <c r="J23" s="352"/>
      <c r="M23" s="341"/>
    </row>
    <row r="24" spans="1:17" ht="20.100000000000001" customHeight="1" thickTop="1" thickBot="1">
      <c r="A24" s="631" t="s">
        <v>393</v>
      </c>
      <c r="B24" s="632"/>
      <c r="C24" s="632"/>
      <c r="D24" s="354"/>
      <c r="E24" s="354"/>
      <c r="F24" s="355"/>
      <c r="G24" s="356"/>
      <c r="H24" s="248">
        <f>SUM(H25:H26)</f>
        <v>0</v>
      </c>
      <c r="I24" s="5"/>
      <c r="J24" s="5"/>
      <c r="K24" s="5"/>
      <c r="L24" s="5"/>
      <c r="M24" s="5"/>
      <c r="N24" s="5"/>
      <c r="O24" s="5"/>
      <c r="P24" s="5"/>
      <c r="Q24" s="5"/>
    </row>
    <row r="25" spans="1:17" ht="28.05" customHeight="1" thickTop="1" thickBot="1">
      <c r="A25" s="12"/>
      <c r="B25" s="2" t="s">
        <v>88</v>
      </c>
      <c r="C25" s="13" t="s">
        <v>95</v>
      </c>
      <c r="D25" s="2" t="s">
        <v>13</v>
      </c>
      <c r="E25" s="2"/>
      <c r="F25" s="285">
        <v>120</v>
      </c>
      <c r="G25" s="33">
        <f t="shared" ref="G25:G112" si="2">E25*F25</f>
        <v>0</v>
      </c>
      <c r="H25" s="248">
        <f t="shared" ref="H25:H84" si="3">E25</f>
        <v>0</v>
      </c>
      <c r="I25" s="5"/>
      <c r="J25" s="5"/>
      <c r="K25" s="5"/>
      <c r="L25" s="5"/>
      <c r="M25" s="5"/>
      <c r="N25" s="5"/>
      <c r="O25" s="5"/>
      <c r="P25" s="5"/>
      <c r="Q25" s="5"/>
    </row>
    <row r="26" spans="1:17" ht="28.05" customHeight="1" thickBot="1">
      <c r="A26" s="35"/>
      <c r="B26" s="36" t="s">
        <v>79</v>
      </c>
      <c r="C26" s="37" t="s">
        <v>94</v>
      </c>
      <c r="D26" s="36" t="s">
        <v>11</v>
      </c>
      <c r="E26" s="36"/>
      <c r="F26" s="303">
        <v>3.6</v>
      </c>
      <c r="G26" s="38">
        <f t="shared" si="2"/>
        <v>0</v>
      </c>
      <c r="H26" s="248">
        <f t="shared" si="3"/>
        <v>0</v>
      </c>
      <c r="I26" s="5"/>
      <c r="J26" s="5"/>
      <c r="K26" s="5"/>
      <c r="L26" s="5"/>
      <c r="M26" s="5"/>
      <c r="N26" s="5"/>
      <c r="O26" s="5"/>
      <c r="P26" s="5"/>
      <c r="Q26" s="5"/>
    </row>
    <row r="27" spans="1:17" ht="20.25" customHeight="1" thickTop="1" thickBot="1">
      <c r="A27" s="564" t="s">
        <v>389</v>
      </c>
      <c r="B27" s="578"/>
      <c r="C27" s="578"/>
      <c r="D27" s="342"/>
      <c r="E27" s="342"/>
      <c r="F27" s="343"/>
      <c r="G27" s="39"/>
      <c r="H27" s="248">
        <f>SUM(H28:H30)</f>
        <v>0</v>
      </c>
      <c r="I27" s="5"/>
      <c r="J27" s="5"/>
      <c r="K27" s="5"/>
      <c r="L27" s="5"/>
      <c r="M27" s="5"/>
      <c r="N27" s="5"/>
      <c r="O27" s="5"/>
      <c r="P27" s="5"/>
      <c r="Q27" s="5"/>
    </row>
    <row r="28" spans="1:17" ht="28.05" customHeight="1" thickTop="1" thickBot="1">
      <c r="A28" s="12"/>
      <c r="B28" s="2" t="s">
        <v>353</v>
      </c>
      <c r="C28" s="194" t="s">
        <v>356</v>
      </c>
      <c r="D28" s="2" t="s">
        <v>11</v>
      </c>
      <c r="E28" s="108"/>
      <c r="F28" s="285">
        <v>21</v>
      </c>
      <c r="G28" s="33">
        <f>E28*F28</f>
        <v>0</v>
      </c>
      <c r="H28" s="248">
        <f>E28</f>
        <v>0</v>
      </c>
      <c r="I28" s="5"/>
      <c r="J28" s="5"/>
      <c r="K28" s="5"/>
      <c r="L28" s="5"/>
      <c r="M28" s="5"/>
      <c r="N28" s="5"/>
      <c r="O28" s="5"/>
      <c r="P28" s="5"/>
      <c r="Q28" s="5"/>
    </row>
    <row r="29" spans="1:17" ht="28.05" customHeight="1" thickBot="1">
      <c r="A29" s="12"/>
      <c r="B29" s="2" t="s">
        <v>354</v>
      </c>
      <c r="C29" s="194" t="s">
        <v>357</v>
      </c>
      <c r="D29" s="2" t="s">
        <v>11</v>
      </c>
      <c r="E29" s="108"/>
      <c r="F29" s="286">
        <v>42</v>
      </c>
      <c r="G29" s="33">
        <f>E29*F29</f>
        <v>0</v>
      </c>
      <c r="H29" s="248">
        <f>E29</f>
        <v>0</v>
      </c>
      <c r="I29" s="5"/>
      <c r="J29" s="5"/>
      <c r="K29" s="5"/>
      <c r="L29" s="5"/>
      <c r="M29" s="5"/>
      <c r="N29" s="5"/>
      <c r="O29" s="5"/>
      <c r="P29" s="5"/>
      <c r="Q29" s="5"/>
    </row>
    <row r="30" spans="1:17" ht="28.05" customHeight="1" thickBot="1">
      <c r="A30" s="35"/>
      <c r="B30" s="36" t="s">
        <v>355</v>
      </c>
      <c r="C30" s="313" t="s">
        <v>358</v>
      </c>
      <c r="D30" s="36" t="s">
        <v>11</v>
      </c>
      <c r="E30" s="136"/>
      <c r="F30" s="303">
        <v>36</v>
      </c>
      <c r="G30" s="38">
        <f>E30*F30</f>
        <v>0</v>
      </c>
      <c r="H30" s="248">
        <f>E30</f>
        <v>0</v>
      </c>
      <c r="I30" s="5"/>
      <c r="J30" s="5"/>
      <c r="K30" s="5"/>
      <c r="L30" s="5"/>
      <c r="M30" s="5"/>
      <c r="N30" s="5"/>
      <c r="O30" s="5"/>
      <c r="P30" s="5"/>
      <c r="Q30" s="5"/>
    </row>
    <row r="31" spans="1:17" ht="20.100000000000001" customHeight="1" thickTop="1" thickBot="1">
      <c r="A31" s="564" t="s">
        <v>394</v>
      </c>
      <c r="B31" s="633"/>
      <c r="C31" s="633"/>
      <c r="D31" s="75"/>
      <c r="E31" s="75"/>
      <c r="F31" s="344"/>
      <c r="G31" s="39"/>
      <c r="H31" s="248">
        <f>SUM(H32:H38)</f>
        <v>0</v>
      </c>
      <c r="I31" s="5"/>
      <c r="J31" s="46"/>
      <c r="K31" s="536"/>
      <c r="L31" s="536"/>
      <c r="M31" s="536"/>
      <c r="N31" s="536"/>
      <c r="O31" s="536"/>
      <c r="P31" s="5"/>
      <c r="Q31" s="5"/>
    </row>
    <row r="32" spans="1:17" ht="28.05" customHeight="1" thickTop="1" thickBot="1">
      <c r="A32" s="12"/>
      <c r="B32" s="2" t="s">
        <v>87</v>
      </c>
      <c r="C32" s="13" t="s">
        <v>96</v>
      </c>
      <c r="D32" s="2" t="s">
        <v>13</v>
      </c>
      <c r="E32" s="2"/>
      <c r="F32" s="285">
        <v>40</v>
      </c>
      <c r="G32" s="33">
        <f>E32*F32</f>
        <v>0</v>
      </c>
      <c r="H32" s="248">
        <f t="shared" si="3"/>
        <v>0</v>
      </c>
      <c r="I32" s="5"/>
      <c r="J32" s="192"/>
      <c r="K32" s="46"/>
      <c r="L32" s="46"/>
      <c r="M32" s="46"/>
      <c r="N32" s="46"/>
      <c r="O32" s="46"/>
      <c r="P32" s="5"/>
      <c r="Q32" s="5"/>
    </row>
    <row r="33" spans="1:17" ht="28.05" customHeight="1" thickBot="1">
      <c r="A33" s="12"/>
      <c r="B33" s="2" t="s">
        <v>12</v>
      </c>
      <c r="C33" s="13" t="s">
        <v>97</v>
      </c>
      <c r="D33" s="2" t="s">
        <v>13</v>
      </c>
      <c r="E33" s="2"/>
      <c r="F33" s="286">
        <v>62</v>
      </c>
      <c r="G33" s="33">
        <f t="shared" si="2"/>
        <v>0</v>
      </c>
      <c r="H33" s="248">
        <f t="shared" si="3"/>
        <v>0</v>
      </c>
      <c r="I33" s="5"/>
      <c r="J33" s="46"/>
      <c r="K33" s="46"/>
      <c r="L33" s="46"/>
      <c r="M33" s="46"/>
      <c r="N33" s="46"/>
      <c r="O33" s="46"/>
      <c r="P33" s="5"/>
      <c r="Q33" s="5"/>
    </row>
    <row r="34" spans="1:17" ht="28.05" customHeight="1" thickBot="1">
      <c r="A34" s="12"/>
      <c r="B34" s="2">
        <v>630112</v>
      </c>
      <c r="C34" s="13" t="s">
        <v>99</v>
      </c>
      <c r="D34" s="3" t="s">
        <v>13</v>
      </c>
      <c r="E34" s="2"/>
      <c r="F34" s="286">
        <v>81</v>
      </c>
      <c r="G34" s="33">
        <f t="shared" si="2"/>
        <v>0</v>
      </c>
      <c r="H34" s="248">
        <f t="shared" si="3"/>
        <v>0</v>
      </c>
      <c r="I34" s="5"/>
      <c r="J34" s="46"/>
      <c r="K34" s="46"/>
      <c r="L34" s="46"/>
      <c r="M34" s="46"/>
      <c r="N34" s="46"/>
      <c r="O34" s="46"/>
      <c r="P34" s="5"/>
      <c r="Q34" s="5"/>
    </row>
    <row r="35" spans="1:17" ht="28.05" customHeight="1" thickBot="1">
      <c r="A35" s="12"/>
      <c r="B35" s="2">
        <v>630113</v>
      </c>
      <c r="C35" s="13" t="s">
        <v>98</v>
      </c>
      <c r="D35" s="3" t="s">
        <v>13</v>
      </c>
      <c r="E35" s="2"/>
      <c r="F35" s="286">
        <v>123</v>
      </c>
      <c r="G35" s="33">
        <f t="shared" si="2"/>
        <v>0</v>
      </c>
      <c r="H35" s="248">
        <f t="shared" si="3"/>
        <v>0</v>
      </c>
      <c r="I35" s="5"/>
      <c r="J35" s="5"/>
      <c r="K35" s="5"/>
      <c r="L35" s="5"/>
      <c r="M35" s="5"/>
      <c r="N35" s="5"/>
      <c r="O35" s="5"/>
      <c r="P35" s="5"/>
      <c r="Q35" s="5"/>
    </row>
    <row r="36" spans="1:17" ht="18" customHeight="1" thickBot="1">
      <c r="A36" s="12"/>
      <c r="B36" s="2">
        <v>92252</v>
      </c>
      <c r="C36" s="13" t="s">
        <v>100</v>
      </c>
      <c r="D36" s="3" t="s">
        <v>14</v>
      </c>
      <c r="E36" s="2"/>
      <c r="F36" s="286">
        <v>71</v>
      </c>
      <c r="G36" s="33">
        <f t="shared" si="2"/>
        <v>0</v>
      </c>
      <c r="H36" s="248">
        <f t="shared" si="3"/>
        <v>0</v>
      </c>
      <c r="I36" s="5"/>
      <c r="J36" s="5"/>
      <c r="K36" s="5"/>
      <c r="L36" s="5"/>
      <c r="M36" s="5"/>
      <c r="N36" s="5"/>
      <c r="O36" s="5"/>
      <c r="P36" s="5"/>
      <c r="Q36" s="5"/>
    </row>
    <row r="37" spans="1:17" ht="18" customHeight="1" thickBot="1">
      <c r="A37" s="12"/>
      <c r="B37" s="2" t="s">
        <v>134</v>
      </c>
      <c r="C37" s="13" t="s">
        <v>135</v>
      </c>
      <c r="D37" s="3" t="s">
        <v>92</v>
      </c>
      <c r="E37" s="2"/>
      <c r="F37" s="286">
        <v>5</v>
      </c>
      <c r="G37" s="33">
        <f t="shared" si="2"/>
        <v>0</v>
      </c>
      <c r="H37" s="248">
        <f t="shared" si="3"/>
        <v>0</v>
      </c>
      <c r="I37" s="5"/>
      <c r="J37" s="5"/>
      <c r="K37" s="5"/>
      <c r="L37" s="5"/>
      <c r="M37" s="5"/>
      <c r="N37" s="5"/>
      <c r="O37" s="5"/>
      <c r="P37" s="5"/>
      <c r="Q37" s="5"/>
    </row>
    <row r="38" spans="1:17" ht="18" customHeight="1" thickBot="1">
      <c r="A38" s="35"/>
      <c r="B38" s="36" t="s">
        <v>132</v>
      </c>
      <c r="C38" s="37" t="s">
        <v>133</v>
      </c>
      <c r="D38" s="40" t="s">
        <v>11</v>
      </c>
      <c r="E38" s="36"/>
      <c r="F38" s="303">
        <v>10</v>
      </c>
      <c r="G38" s="38">
        <f t="shared" si="2"/>
        <v>0</v>
      </c>
      <c r="H38" s="248">
        <f t="shared" si="3"/>
        <v>0</v>
      </c>
      <c r="I38" s="5"/>
      <c r="J38" s="5"/>
      <c r="K38" s="5"/>
      <c r="L38" s="5"/>
      <c r="M38" s="5"/>
      <c r="N38" s="5"/>
      <c r="O38" s="5"/>
      <c r="P38" s="5"/>
      <c r="Q38" s="5"/>
    </row>
    <row r="39" spans="1:17" ht="20.100000000000001" customHeight="1" thickTop="1" thickBot="1">
      <c r="A39" s="564" t="s">
        <v>395</v>
      </c>
      <c r="B39" s="633"/>
      <c r="C39" s="633"/>
      <c r="D39" s="633"/>
      <c r="E39" s="75"/>
      <c r="F39" s="344"/>
      <c r="G39" s="39"/>
      <c r="H39" s="248">
        <f>SUM(H40:H42)</f>
        <v>0</v>
      </c>
      <c r="I39" s="5"/>
      <c r="J39" s="5"/>
      <c r="K39" s="5"/>
      <c r="L39" s="5"/>
      <c r="M39" s="5"/>
      <c r="N39" s="5"/>
      <c r="O39" s="5"/>
      <c r="P39" s="5"/>
      <c r="Q39" s="5"/>
    </row>
    <row r="40" spans="1:17" ht="28.05" customHeight="1" thickTop="1" thickBot="1">
      <c r="A40" s="12"/>
      <c r="B40" s="2" t="s">
        <v>60</v>
      </c>
      <c r="C40" s="13" t="s">
        <v>164</v>
      </c>
      <c r="D40" s="2" t="s">
        <v>14</v>
      </c>
      <c r="E40" s="2"/>
      <c r="F40" s="285">
        <v>42</v>
      </c>
      <c r="G40" s="33">
        <f>E40*F40</f>
        <v>0</v>
      </c>
      <c r="H40" s="248">
        <f t="shared" si="3"/>
        <v>0</v>
      </c>
      <c r="I40" s="5"/>
      <c r="J40" s="5"/>
      <c r="K40" s="5"/>
      <c r="L40" s="5"/>
      <c r="M40" s="5"/>
      <c r="N40" s="5"/>
      <c r="O40" s="5"/>
      <c r="P40" s="5"/>
      <c r="Q40" s="5"/>
    </row>
    <row r="41" spans="1:17" ht="28.05" customHeight="1" thickBot="1">
      <c r="A41" s="12"/>
      <c r="B41" s="2" t="s">
        <v>15</v>
      </c>
      <c r="C41" s="13" t="s">
        <v>81</v>
      </c>
      <c r="D41" s="2" t="s">
        <v>14</v>
      </c>
      <c r="E41" s="2"/>
      <c r="F41" s="286">
        <v>50</v>
      </c>
      <c r="G41" s="33">
        <f>E41*F41</f>
        <v>0</v>
      </c>
      <c r="H41" s="248">
        <f t="shared" si="3"/>
        <v>0</v>
      </c>
      <c r="I41" s="5"/>
      <c r="J41" s="5"/>
      <c r="K41" s="5"/>
      <c r="L41" s="5"/>
      <c r="M41" s="5"/>
      <c r="N41" s="5"/>
      <c r="O41" s="5"/>
      <c r="P41" s="5"/>
      <c r="Q41" s="5"/>
    </row>
    <row r="42" spans="1:17" ht="28.05" customHeight="1" thickBot="1">
      <c r="A42" s="35"/>
      <c r="B42" s="36" t="s">
        <v>101</v>
      </c>
      <c r="C42" s="37" t="s">
        <v>102</v>
      </c>
      <c r="D42" s="36" t="s">
        <v>14</v>
      </c>
      <c r="E42" s="36"/>
      <c r="F42" s="303">
        <v>119</v>
      </c>
      <c r="G42" s="38">
        <f>E42*F42</f>
        <v>0</v>
      </c>
      <c r="H42" s="248">
        <f t="shared" si="3"/>
        <v>0</v>
      </c>
      <c r="I42" s="5"/>
      <c r="J42" s="5"/>
      <c r="K42" s="5"/>
      <c r="L42" s="5"/>
      <c r="M42" s="5"/>
      <c r="N42" s="5"/>
      <c r="O42" s="5"/>
      <c r="P42" s="5"/>
      <c r="Q42" s="5"/>
    </row>
    <row r="43" spans="1:17" ht="18" customHeight="1" thickTop="1" thickBot="1">
      <c r="A43" s="564" t="s">
        <v>301</v>
      </c>
      <c r="B43" s="633"/>
      <c r="C43" s="633"/>
      <c r="D43" s="342"/>
      <c r="E43" s="342"/>
      <c r="F43" s="343"/>
      <c r="G43" s="39"/>
      <c r="H43" s="248">
        <f>SUM(H44:H47)</f>
        <v>0</v>
      </c>
      <c r="I43" s="5"/>
      <c r="J43" s="5"/>
      <c r="K43" s="5"/>
      <c r="L43" s="5"/>
      <c r="M43" s="5"/>
      <c r="N43" s="5"/>
      <c r="O43" s="5"/>
      <c r="P43" s="5"/>
      <c r="Q43" s="5"/>
    </row>
    <row r="44" spans="1:17" ht="18" customHeight="1" thickTop="1" thickBot="1">
      <c r="A44" s="266"/>
      <c r="B44" s="320" t="s">
        <v>103</v>
      </c>
      <c r="C44" s="321" t="s">
        <v>292</v>
      </c>
      <c r="D44" s="320" t="s">
        <v>92</v>
      </c>
      <c r="E44" s="345"/>
      <c r="F44" s="287">
        <v>5</v>
      </c>
      <c r="G44" s="270">
        <f t="shared" ref="G44:G47" si="4">E44*F44</f>
        <v>0</v>
      </c>
      <c r="H44" s="248">
        <f>E44</f>
        <v>0</v>
      </c>
      <c r="I44" s="5"/>
      <c r="J44" s="5"/>
      <c r="K44" s="5"/>
      <c r="L44" s="5"/>
      <c r="M44" s="5"/>
      <c r="N44" s="5"/>
      <c r="O44" s="5"/>
      <c r="P44" s="5"/>
      <c r="Q44" s="5"/>
    </row>
    <row r="45" spans="1:17" ht="18" customHeight="1" thickBot="1">
      <c r="A45" s="12"/>
      <c r="B45" s="2" t="s">
        <v>76</v>
      </c>
      <c r="C45" s="13" t="s">
        <v>163</v>
      </c>
      <c r="D45" s="2" t="s">
        <v>13</v>
      </c>
      <c r="E45" s="2"/>
      <c r="F45" s="286">
        <v>7</v>
      </c>
      <c r="G45" s="33">
        <f t="shared" si="4"/>
        <v>0</v>
      </c>
      <c r="H45" s="248">
        <f t="shared" si="3"/>
        <v>0</v>
      </c>
      <c r="I45" s="5"/>
      <c r="J45" s="5"/>
      <c r="K45" s="5"/>
      <c r="L45" s="5"/>
      <c r="M45" s="5"/>
      <c r="N45" s="5"/>
      <c r="O45" s="5"/>
      <c r="P45" s="5"/>
      <c r="Q45" s="5"/>
    </row>
    <row r="46" spans="1:17" ht="18" customHeight="1" thickBot="1">
      <c r="A46" s="12"/>
      <c r="B46" s="2" t="s">
        <v>113</v>
      </c>
      <c r="C46" s="13" t="s">
        <v>114</v>
      </c>
      <c r="D46" s="2" t="s">
        <v>11</v>
      </c>
      <c r="E46" s="2"/>
      <c r="F46" s="286">
        <v>158</v>
      </c>
      <c r="G46" s="33">
        <f t="shared" si="4"/>
        <v>0</v>
      </c>
      <c r="H46" s="248">
        <f t="shared" si="3"/>
        <v>0</v>
      </c>
      <c r="I46" s="5"/>
      <c r="J46" s="5"/>
      <c r="K46" s="5"/>
      <c r="L46" s="5"/>
      <c r="M46" s="5"/>
      <c r="N46" s="5"/>
      <c r="O46" s="5"/>
      <c r="P46" s="5"/>
      <c r="Q46" s="5"/>
    </row>
    <row r="47" spans="1:17" ht="18" customHeight="1" thickBot="1">
      <c r="A47" s="161"/>
      <c r="B47" s="272" t="s">
        <v>112</v>
      </c>
      <c r="C47" s="163" t="s">
        <v>165</v>
      </c>
      <c r="D47" s="272" t="s">
        <v>11</v>
      </c>
      <c r="E47" s="272"/>
      <c r="F47" s="288">
        <v>158</v>
      </c>
      <c r="G47" s="164">
        <f t="shared" si="4"/>
        <v>0</v>
      </c>
      <c r="H47" s="248">
        <f>E47</f>
        <v>0</v>
      </c>
      <c r="I47" s="5"/>
      <c r="J47" s="5"/>
      <c r="K47" s="5"/>
      <c r="L47" s="5"/>
      <c r="M47" s="5"/>
      <c r="N47" s="5"/>
      <c r="O47" s="5"/>
      <c r="P47" s="5"/>
      <c r="Q47" s="5"/>
    </row>
    <row r="48" spans="1:17" ht="20.100000000000001" customHeight="1" thickTop="1" thickBot="1">
      <c r="A48" s="564" t="s">
        <v>302</v>
      </c>
      <c r="B48" s="633"/>
      <c r="C48" s="633"/>
      <c r="D48" s="75"/>
      <c r="E48" s="75"/>
      <c r="F48" s="344"/>
      <c r="G48" s="39"/>
      <c r="H48" s="248">
        <f>H49</f>
        <v>0</v>
      </c>
      <c r="I48" s="5"/>
      <c r="J48" s="5"/>
      <c r="K48" s="5"/>
      <c r="L48" s="5"/>
      <c r="M48" s="5" t="s">
        <v>85</v>
      </c>
      <c r="N48" s="5"/>
      <c r="O48" s="5"/>
      <c r="P48" s="5"/>
      <c r="Q48" s="5"/>
    </row>
    <row r="49" spans="1:17" ht="28.05" customHeight="1" thickTop="1" thickBot="1">
      <c r="A49" s="35"/>
      <c r="B49" s="36" t="s">
        <v>107</v>
      </c>
      <c r="C49" s="37" t="s">
        <v>162</v>
      </c>
      <c r="D49" s="36" t="s">
        <v>92</v>
      </c>
      <c r="E49" s="36"/>
      <c r="F49" s="302">
        <v>9</v>
      </c>
      <c r="G49" s="38">
        <f>E49*F49</f>
        <v>0</v>
      </c>
      <c r="H49" s="248">
        <f t="shared" si="3"/>
        <v>0</v>
      </c>
      <c r="I49" s="5"/>
      <c r="J49" s="5"/>
      <c r="K49" s="5"/>
      <c r="L49" s="5"/>
      <c r="M49" s="5"/>
      <c r="N49" s="5"/>
      <c r="O49" s="5"/>
      <c r="P49" s="5"/>
      <c r="Q49" s="5"/>
    </row>
    <row r="50" spans="1:17" ht="18" customHeight="1" thickTop="1" thickBot="1">
      <c r="A50" s="564" t="s">
        <v>16</v>
      </c>
      <c r="B50" s="633"/>
      <c r="C50" s="633"/>
      <c r="D50" s="75"/>
      <c r="E50" s="75"/>
      <c r="F50" s="344"/>
      <c r="G50" s="39"/>
      <c r="H50" s="248">
        <f>SUM(H51:H112)</f>
        <v>0</v>
      </c>
      <c r="I50" s="5"/>
      <c r="J50" s="5"/>
      <c r="K50" s="5"/>
      <c r="L50" s="5"/>
      <c r="M50" s="5"/>
      <c r="N50" s="5"/>
      <c r="O50" s="5"/>
      <c r="P50" s="5"/>
      <c r="Q50" s="5"/>
    </row>
    <row r="51" spans="1:17" ht="18" customHeight="1" thickTop="1" thickBot="1">
      <c r="A51" s="266"/>
      <c r="B51" s="271" t="s">
        <v>78</v>
      </c>
      <c r="C51" s="269" t="s">
        <v>77</v>
      </c>
      <c r="D51" s="271" t="s">
        <v>13</v>
      </c>
      <c r="E51" s="271"/>
      <c r="F51" s="287">
        <v>2</v>
      </c>
      <c r="G51" s="270">
        <f>E51*F51</f>
        <v>0</v>
      </c>
      <c r="H51" s="248">
        <f t="shared" si="3"/>
        <v>0</v>
      </c>
      <c r="I51" s="5"/>
      <c r="J51" s="5"/>
      <c r="K51" s="5"/>
      <c r="L51" s="5"/>
      <c r="M51" s="5"/>
      <c r="N51" s="5"/>
      <c r="O51" s="5"/>
      <c r="P51" s="5"/>
      <c r="Q51" s="5"/>
    </row>
    <row r="52" spans="1:17" ht="18" customHeight="1" thickBot="1">
      <c r="A52" s="12"/>
      <c r="B52" s="2" t="s">
        <v>109</v>
      </c>
      <c r="C52" s="13" t="s">
        <v>110</v>
      </c>
      <c r="D52" s="3" t="s">
        <v>14</v>
      </c>
      <c r="E52" s="2"/>
      <c r="F52" s="286">
        <v>11</v>
      </c>
      <c r="G52" s="33">
        <f>E52*F52</f>
        <v>0</v>
      </c>
      <c r="H52" s="248">
        <f t="shared" si="3"/>
        <v>0</v>
      </c>
      <c r="I52" s="5"/>
      <c r="J52" s="5"/>
      <c r="K52" s="5"/>
      <c r="L52" s="5"/>
      <c r="M52" s="5"/>
      <c r="N52" s="5"/>
      <c r="O52" s="5"/>
      <c r="P52" s="5"/>
      <c r="Q52" s="5"/>
    </row>
    <row r="53" spans="1:17" ht="18" customHeight="1" thickBot="1">
      <c r="A53" s="12"/>
      <c r="B53" s="2" t="s">
        <v>108</v>
      </c>
      <c r="C53" s="13" t="s">
        <v>116</v>
      </c>
      <c r="D53" s="3" t="s">
        <v>11</v>
      </c>
      <c r="E53" s="2"/>
      <c r="F53" s="286">
        <v>4.7300000000000004</v>
      </c>
      <c r="G53" s="33">
        <f>E53*F53</f>
        <v>0</v>
      </c>
      <c r="H53" s="248">
        <f t="shared" si="3"/>
        <v>0</v>
      </c>
      <c r="I53" s="5"/>
      <c r="J53" s="5"/>
      <c r="K53" s="5"/>
      <c r="L53" s="5"/>
      <c r="M53" s="5"/>
      <c r="N53" s="5"/>
      <c r="O53" s="5"/>
      <c r="P53" s="5"/>
      <c r="Q53" s="5"/>
    </row>
    <row r="54" spans="1:17" ht="18" customHeight="1" thickBot="1">
      <c r="A54" s="12"/>
      <c r="B54" s="2" t="s">
        <v>111</v>
      </c>
      <c r="C54" s="13" t="s">
        <v>161</v>
      </c>
      <c r="D54" s="3" t="s">
        <v>11</v>
      </c>
      <c r="E54" s="2"/>
      <c r="F54" s="286">
        <v>165</v>
      </c>
      <c r="G54" s="33">
        <f>E54*F54</f>
        <v>0</v>
      </c>
      <c r="H54" s="248">
        <f t="shared" si="3"/>
        <v>0</v>
      </c>
      <c r="I54" s="5"/>
      <c r="J54" s="5"/>
      <c r="K54" s="5"/>
      <c r="L54" s="5"/>
      <c r="M54" s="5"/>
      <c r="N54" s="5"/>
      <c r="O54" s="5"/>
      <c r="P54" s="5"/>
      <c r="Q54" s="5"/>
    </row>
    <row r="55" spans="1:17" ht="18" customHeight="1" thickBot="1">
      <c r="A55" s="12"/>
      <c r="B55" s="29" t="s">
        <v>115</v>
      </c>
      <c r="C55" s="31" t="s">
        <v>117</v>
      </c>
      <c r="D55" s="30" t="s">
        <v>11</v>
      </c>
      <c r="E55" s="30"/>
      <c r="F55" s="286">
        <v>21</v>
      </c>
      <c r="G55" s="33">
        <f>E55*F55</f>
        <v>0</v>
      </c>
      <c r="H55" s="248">
        <f t="shared" si="3"/>
        <v>0</v>
      </c>
      <c r="I55" s="5"/>
      <c r="J55" s="5"/>
      <c r="K55" s="5"/>
      <c r="L55" s="5"/>
      <c r="M55" s="5"/>
      <c r="N55" s="5"/>
      <c r="O55" s="5"/>
      <c r="P55" s="5"/>
      <c r="Q55" s="5"/>
    </row>
    <row r="56" spans="1:17" ht="18" customHeight="1" thickBot="1">
      <c r="A56" s="27"/>
      <c r="B56" s="20" t="s">
        <v>61</v>
      </c>
      <c r="C56" s="13" t="s">
        <v>63</v>
      </c>
      <c r="D56" s="28" t="s">
        <v>14</v>
      </c>
      <c r="E56" s="20"/>
      <c r="F56" s="286">
        <v>39</v>
      </c>
      <c r="G56" s="33">
        <f t="shared" si="2"/>
        <v>0</v>
      </c>
      <c r="H56" s="248">
        <f t="shared" si="3"/>
        <v>0</v>
      </c>
      <c r="I56" s="5"/>
      <c r="J56" s="5"/>
      <c r="K56" s="5"/>
      <c r="L56" s="5"/>
      <c r="M56" s="5"/>
      <c r="N56" s="5"/>
      <c r="O56" s="5"/>
      <c r="P56" s="5"/>
      <c r="Q56" s="5"/>
    </row>
    <row r="57" spans="1:17" ht="18" customHeight="1" thickBot="1">
      <c r="A57" s="27"/>
      <c r="B57" s="20" t="s">
        <v>62</v>
      </c>
      <c r="C57" s="13" t="s">
        <v>75</v>
      </c>
      <c r="D57" s="28" t="s">
        <v>14</v>
      </c>
      <c r="E57" s="20"/>
      <c r="F57" s="286">
        <v>116</v>
      </c>
      <c r="G57" s="33">
        <f t="shared" si="2"/>
        <v>0</v>
      </c>
      <c r="H57" s="248">
        <f t="shared" si="3"/>
        <v>0</v>
      </c>
      <c r="I57" s="5"/>
      <c r="J57" s="32"/>
      <c r="K57" s="5"/>
      <c r="L57" s="5"/>
      <c r="M57" s="5"/>
      <c r="N57" s="5"/>
      <c r="O57" s="5"/>
      <c r="P57" s="5"/>
      <c r="Q57" s="5"/>
    </row>
    <row r="58" spans="1:17" ht="18" customHeight="1" thickBot="1">
      <c r="A58" s="12"/>
      <c r="B58" s="2" t="s">
        <v>17</v>
      </c>
      <c r="C58" s="13" t="s">
        <v>18</v>
      </c>
      <c r="D58" s="20" t="s">
        <v>14</v>
      </c>
      <c r="E58" s="2"/>
      <c r="F58" s="286">
        <v>52</v>
      </c>
      <c r="G58" s="33">
        <f t="shared" si="2"/>
        <v>0</v>
      </c>
      <c r="H58" s="248">
        <f t="shared" si="3"/>
        <v>0</v>
      </c>
      <c r="I58" s="5"/>
      <c r="J58" s="32"/>
      <c r="K58" s="5"/>
      <c r="L58" s="5"/>
      <c r="M58" s="5"/>
      <c r="N58" s="5"/>
      <c r="O58" s="5"/>
      <c r="P58" s="5"/>
      <c r="Q58" s="5"/>
    </row>
    <row r="59" spans="1:17" ht="18" customHeight="1" thickBot="1">
      <c r="A59" s="12"/>
      <c r="B59" s="2" t="s">
        <v>19</v>
      </c>
      <c r="C59" s="13" t="s">
        <v>20</v>
      </c>
      <c r="D59" s="28" t="s">
        <v>14</v>
      </c>
      <c r="E59" s="20"/>
      <c r="F59" s="286">
        <v>153</v>
      </c>
      <c r="G59" s="33">
        <f t="shared" si="2"/>
        <v>0</v>
      </c>
      <c r="H59" s="248">
        <f t="shared" si="3"/>
        <v>0</v>
      </c>
      <c r="I59" s="5"/>
      <c r="J59" s="5"/>
      <c r="K59" s="5"/>
      <c r="L59" s="5"/>
      <c r="M59" s="5"/>
      <c r="N59" s="5"/>
      <c r="O59" s="5"/>
      <c r="P59" s="5"/>
      <c r="Q59" s="5"/>
    </row>
    <row r="60" spans="1:17" ht="18" customHeight="1" thickBot="1">
      <c r="A60" s="12"/>
      <c r="B60" s="2" t="s">
        <v>295</v>
      </c>
      <c r="C60" s="13" t="s">
        <v>296</v>
      </c>
      <c r="D60" s="28" t="s">
        <v>14</v>
      </c>
      <c r="E60" s="20"/>
      <c r="F60" s="286">
        <v>54</v>
      </c>
      <c r="G60" s="33">
        <f>E60*F60</f>
        <v>0</v>
      </c>
      <c r="H60" s="248">
        <f>E60</f>
        <v>0</v>
      </c>
      <c r="I60" s="5"/>
      <c r="J60" s="5"/>
      <c r="K60" s="5"/>
      <c r="L60" s="5"/>
      <c r="M60" s="5"/>
      <c r="N60" s="5"/>
      <c r="O60" s="5"/>
      <c r="P60" s="5"/>
      <c r="Q60" s="5"/>
    </row>
    <row r="61" spans="1:17" ht="18" customHeight="1" thickBot="1">
      <c r="A61" s="12"/>
      <c r="B61" s="2" t="s">
        <v>59</v>
      </c>
      <c r="C61" s="13" t="s">
        <v>66</v>
      </c>
      <c r="D61" s="28" t="s">
        <v>14</v>
      </c>
      <c r="E61" s="20"/>
      <c r="F61" s="286">
        <v>64</v>
      </c>
      <c r="G61" s="33">
        <f t="shared" si="2"/>
        <v>0</v>
      </c>
      <c r="H61" s="248">
        <f t="shared" si="3"/>
        <v>0</v>
      </c>
      <c r="I61" s="5"/>
      <c r="J61" s="5"/>
      <c r="K61" s="5"/>
      <c r="L61" s="5"/>
      <c r="M61" s="5"/>
      <c r="N61" s="5"/>
      <c r="O61" s="5"/>
      <c r="P61" s="5"/>
      <c r="Q61" s="5"/>
    </row>
    <row r="62" spans="1:17" ht="18" customHeight="1" thickBot="1">
      <c r="A62" s="12"/>
      <c r="B62" s="2" t="s">
        <v>64</v>
      </c>
      <c r="C62" s="13" t="s">
        <v>67</v>
      </c>
      <c r="D62" s="28" t="s">
        <v>14</v>
      </c>
      <c r="E62" s="20"/>
      <c r="F62" s="286">
        <v>127</v>
      </c>
      <c r="G62" s="33">
        <f t="shared" si="2"/>
        <v>0</v>
      </c>
      <c r="H62" s="248">
        <f t="shared" si="3"/>
        <v>0</v>
      </c>
      <c r="I62" s="5"/>
      <c r="J62" s="5"/>
      <c r="K62" s="5"/>
      <c r="L62" s="5"/>
      <c r="M62" s="5"/>
      <c r="N62" s="5"/>
      <c r="O62" s="5"/>
      <c r="P62" s="5"/>
      <c r="Q62" s="5"/>
    </row>
    <row r="63" spans="1:17" ht="18" customHeight="1" thickBot="1">
      <c r="A63" s="12"/>
      <c r="B63" s="2" t="s">
        <v>65</v>
      </c>
      <c r="C63" s="13" t="s">
        <v>68</v>
      </c>
      <c r="D63" s="28" t="s">
        <v>14</v>
      </c>
      <c r="E63" s="20"/>
      <c r="F63" s="286">
        <v>319</v>
      </c>
      <c r="G63" s="33">
        <f t="shared" si="2"/>
        <v>0</v>
      </c>
      <c r="H63" s="248">
        <f t="shared" si="3"/>
        <v>0</v>
      </c>
      <c r="I63" s="5"/>
      <c r="J63" s="5"/>
      <c r="K63" s="5"/>
      <c r="L63" s="5"/>
      <c r="M63" s="5"/>
      <c r="N63" s="5"/>
      <c r="O63" s="5"/>
      <c r="P63" s="5"/>
      <c r="Q63" s="5"/>
    </row>
    <row r="64" spans="1:17" ht="18" customHeight="1" thickBot="1">
      <c r="A64" s="12"/>
      <c r="B64" s="2" t="s">
        <v>231</v>
      </c>
      <c r="C64" s="13" t="s">
        <v>232</v>
      </c>
      <c r="D64" s="28" t="s">
        <v>14</v>
      </c>
      <c r="E64" s="20"/>
      <c r="F64" s="286">
        <v>53</v>
      </c>
      <c r="G64" s="33">
        <f t="shared" si="2"/>
        <v>0</v>
      </c>
      <c r="H64" s="248">
        <f t="shared" si="3"/>
        <v>0</v>
      </c>
      <c r="I64" s="5"/>
      <c r="J64" s="5"/>
      <c r="K64" s="5"/>
      <c r="L64" s="5"/>
      <c r="M64" s="5"/>
      <c r="N64" s="5"/>
      <c r="O64" s="5"/>
      <c r="P64" s="5"/>
      <c r="Q64" s="5"/>
    </row>
    <row r="65" spans="1:17" ht="18" customHeight="1" thickBot="1">
      <c r="A65" s="12"/>
      <c r="B65" s="2" t="s">
        <v>69</v>
      </c>
      <c r="C65" s="13" t="s">
        <v>72</v>
      </c>
      <c r="D65" s="28" t="s">
        <v>14</v>
      </c>
      <c r="E65" s="20"/>
      <c r="F65" s="286">
        <v>71</v>
      </c>
      <c r="G65" s="33">
        <f t="shared" si="2"/>
        <v>0</v>
      </c>
      <c r="H65" s="248">
        <f t="shared" si="3"/>
        <v>0</v>
      </c>
      <c r="I65" s="5"/>
      <c r="J65" s="5"/>
      <c r="K65" s="5"/>
      <c r="L65" s="5"/>
      <c r="M65" s="5"/>
      <c r="N65" s="5"/>
      <c r="O65" s="5"/>
      <c r="P65" s="5"/>
      <c r="Q65" s="5"/>
    </row>
    <row r="66" spans="1:17" ht="18" customHeight="1" thickBot="1">
      <c r="A66" s="12"/>
      <c r="B66" s="2" t="s">
        <v>70</v>
      </c>
      <c r="C66" s="13" t="s">
        <v>73</v>
      </c>
      <c r="D66" s="28" t="s">
        <v>14</v>
      </c>
      <c r="E66" s="20"/>
      <c r="F66" s="286">
        <v>142</v>
      </c>
      <c r="G66" s="33">
        <f t="shared" si="2"/>
        <v>0</v>
      </c>
      <c r="H66" s="248">
        <f t="shared" si="3"/>
        <v>0</v>
      </c>
      <c r="I66" s="5"/>
      <c r="J66" s="5"/>
      <c r="K66" s="5"/>
      <c r="L66" s="5"/>
      <c r="M66" s="5"/>
      <c r="N66" s="5"/>
      <c r="O66" s="5"/>
      <c r="P66" s="5"/>
      <c r="Q66" s="5"/>
    </row>
    <row r="67" spans="1:17" ht="18" customHeight="1" thickBot="1">
      <c r="A67" s="12"/>
      <c r="B67" s="2" t="s">
        <v>71</v>
      </c>
      <c r="C67" s="13" t="s">
        <v>74</v>
      </c>
      <c r="D67" s="20" t="s">
        <v>14</v>
      </c>
      <c r="E67" s="2"/>
      <c r="F67" s="286">
        <v>354</v>
      </c>
      <c r="G67" s="33">
        <f>E67*F67</f>
        <v>0</v>
      </c>
      <c r="H67" s="248">
        <f>E67</f>
        <v>0</v>
      </c>
      <c r="I67" s="5"/>
      <c r="J67" s="5"/>
      <c r="K67" s="5"/>
      <c r="L67" s="5"/>
      <c r="M67" s="5"/>
      <c r="N67" s="5"/>
      <c r="O67" s="5"/>
      <c r="P67" s="5"/>
      <c r="Q67" s="5"/>
    </row>
    <row r="68" spans="1:17" ht="18" customHeight="1" thickBot="1">
      <c r="A68" s="12"/>
      <c r="B68" s="2" t="s">
        <v>386</v>
      </c>
      <c r="C68" s="13" t="s">
        <v>385</v>
      </c>
      <c r="D68" s="20" t="s">
        <v>14</v>
      </c>
      <c r="E68" s="2"/>
      <c r="F68" s="286">
        <v>578</v>
      </c>
      <c r="G68" s="33">
        <f>E68*F68</f>
        <v>0</v>
      </c>
      <c r="H68" s="248">
        <f>E68</f>
        <v>0</v>
      </c>
      <c r="I68" s="5"/>
      <c r="J68" s="5"/>
      <c r="K68" s="5"/>
      <c r="L68" s="5"/>
      <c r="M68" s="5"/>
      <c r="N68" s="5"/>
      <c r="O68" s="5"/>
      <c r="P68" s="5"/>
      <c r="Q68" s="5"/>
    </row>
    <row r="69" spans="1:17" ht="18" customHeight="1" thickBot="1">
      <c r="A69" s="12"/>
      <c r="B69" s="2" t="s">
        <v>297</v>
      </c>
      <c r="C69" s="13" t="s">
        <v>299</v>
      </c>
      <c r="D69" s="20" t="s">
        <v>14</v>
      </c>
      <c r="E69" s="29"/>
      <c r="F69" s="286">
        <v>365</v>
      </c>
      <c r="G69" s="238">
        <f>E69*F69</f>
        <v>0</v>
      </c>
      <c r="H69" s="248">
        <f>E69</f>
        <v>0</v>
      </c>
      <c r="I69" s="5"/>
      <c r="J69" s="5"/>
      <c r="K69" s="5"/>
      <c r="L69" s="5"/>
      <c r="M69" s="5"/>
      <c r="N69" s="5"/>
      <c r="O69" s="5"/>
      <c r="P69" s="5"/>
      <c r="Q69" s="5"/>
    </row>
    <row r="70" spans="1:17" ht="18" customHeight="1" thickBot="1">
      <c r="A70" s="12"/>
      <c r="B70" s="2" t="s">
        <v>298</v>
      </c>
      <c r="C70" s="13" t="s">
        <v>300</v>
      </c>
      <c r="D70" s="20" t="s">
        <v>14</v>
      </c>
      <c r="E70" s="2"/>
      <c r="F70" s="286">
        <v>381</v>
      </c>
      <c r="G70" s="33">
        <f t="shared" si="2"/>
        <v>0</v>
      </c>
      <c r="H70" s="248">
        <f t="shared" si="3"/>
        <v>0</v>
      </c>
      <c r="I70" s="5"/>
      <c r="J70" s="5"/>
      <c r="K70" s="5"/>
      <c r="L70" s="5"/>
      <c r="M70" s="5"/>
      <c r="N70" s="5"/>
      <c r="O70" s="5"/>
      <c r="P70" s="5"/>
      <c r="Q70" s="5"/>
    </row>
    <row r="71" spans="1:17" ht="43.95" customHeight="1" thickBot="1">
      <c r="A71" s="12"/>
      <c r="B71" s="2" t="s">
        <v>35</v>
      </c>
      <c r="C71" s="13" t="s">
        <v>118</v>
      </c>
      <c r="D71" s="2" t="s">
        <v>11</v>
      </c>
      <c r="E71" s="2"/>
      <c r="F71" s="286">
        <v>104</v>
      </c>
      <c r="G71" s="33">
        <f t="shared" si="2"/>
        <v>0</v>
      </c>
      <c r="H71" s="248">
        <f t="shared" si="3"/>
        <v>0</v>
      </c>
      <c r="I71" s="5"/>
      <c r="J71" s="5"/>
      <c r="K71" s="5"/>
      <c r="L71" s="5"/>
      <c r="M71" s="5"/>
      <c r="N71" s="5"/>
      <c r="O71" s="5"/>
      <c r="P71" s="5"/>
      <c r="Q71" s="5"/>
    </row>
    <row r="72" spans="1:17" ht="43.95" customHeight="1" thickBot="1">
      <c r="A72" s="12"/>
      <c r="B72" s="2" t="s">
        <v>36</v>
      </c>
      <c r="C72" s="13" t="s">
        <v>119</v>
      </c>
      <c r="D72" s="2" t="s">
        <v>11</v>
      </c>
      <c r="E72" s="2"/>
      <c r="F72" s="286">
        <v>120</v>
      </c>
      <c r="G72" s="33">
        <f t="shared" si="2"/>
        <v>0</v>
      </c>
      <c r="H72" s="248">
        <f t="shared" si="3"/>
        <v>0</v>
      </c>
      <c r="I72" s="5"/>
      <c r="J72" s="5"/>
      <c r="K72" s="5"/>
      <c r="L72" s="5"/>
      <c r="M72" s="5"/>
      <c r="N72" s="5"/>
      <c r="O72" s="5"/>
      <c r="P72" s="5"/>
      <c r="Q72" s="5"/>
    </row>
    <row r="73" spans="1:17" ht="43.95" customHeight="1" thickBot="1">
      <c r="A73" s="12"/>
      <c r="B73" s="2" t="s">
        <v>37</v>
      </c>
      <c r="C73" s="13" t="s">
        <v>120</v>
      </c>
      <c r="D73" s="2" t="s">
        <v>11</v>
      </c>
      <c r="E73" s="2"/>
      <c r="F73" s="286">
        <v>136</v>
      </c>
      <c r="G73" s="33">
        <f t="shared" si="2"/>
        <v>0</v>
      </c>
      <c r="H73" s="248">
        <f t="shared" si="3"/>
        <v>0</v>
      </c>
      <c r="I73" s="5"/>
      <c r="J73" s="5"/>
      <c r="K73" s="5"/>
      <c r="L73" s="5"/>
      <c r="M73" s="5"/>
      <c r="N73" s="5"/>
      <c r="O73" s="5"/>
      <c r="P73" s="5"/>
      <c r="Q73" s="5"/>
    </row>
    <row r="74" spans="1:17" ht="43.95" customHeight="1" thickBot="1">
      <c r="A74" s="12"/>
      <c r="B74" s="2" t="s">
        <v>23</v>
      </c>
      <c r="C74" s="13" t="s">
        <v>121</v>
      </c>
      <c r="D74" s="2" t="s">
        <v>11</v>
      </c>
      <c r="E74" s="2"/>
      <c r="F74" s="286">
        <v>151</v>
      </c>
      <c r="G74" s="33">
        <f t="shared" si="2"/>
        <v>0</v>
      </c>
      <c r="H74" s="248">
        <f t="shared" si="3"/>
        <v>0</v>
      </c>
      <c r="I74" s="5"/>
      <c r="J74" s="5"/>
      <c r="K74" s="5"/>
      <c r="L74" s="5"/>
      <c r="M74" s="5"/>
      <c r="N74" s="5"/>
      <c r="O74" s="5"/>
      <c r="P74" s="5"/>
      <c r="Q74" s="5"/>
    </row>
    <row r="75" spans="1:17" ht="43.95" customHeight="1" thickBot="1">
      <c r="A75" s="12"/>
      <c r="B75" s="2" t="s">
        <v>22</v>
      </c>
      <c r="C75" s="13" t="s">
        <v>303</v>
      </c>
      <c r="D75" s="2" t="s">
        <v>11</v>
      </c>
      <c r="E75" s="2"/>
      <c r="F75" s="286">
        <v>168</v>
      </c>
      <c r="G75" s="33">
        <f t="shared" si="2"/>
        <v>0</v>
      </c>
      <c r="H75" s="248">
        <f t="shared" si="3"/>
        <v>0</v>
      </c>
      <c r="I75" s="5"/>
      <c r="J75" s="5"/>
      <c r="K75" s="5"/>
      <c r="L75" s="5"/>
      <c r="M75" s="5"/>
      <c r="N75" s="5"/>
      <c r="O75" s="5"/>
      <c r="P75" s="5"/>
      <c r="Q75" s="5"/>
    </row>
    <row r="76" spans="1:17" ht="43.95" customHeight="1" thickBot="1">
      <c r="A76" s="12"/>
      <c r="B76" s="2" t="s">
        <v>21</v>
      </c>
      <c r="C76" s="13" t="s">
        <v>304</v>
      </c>
      <c r="D76" s="2" t="s">
        <v>11</v>
      </c>
      <c r="E76" s="2"/>
      <c r="F76" s="286">
        <v>184</v>
      </c>
      <c r="G76" s="33">
        <f t="shared" si="2"/>
        <v>0</v>
      </c>
      <c r="H76" s="248">
        <f t="shared" si="3"/>
        <v>0</v>
      </c>
      <c r="I76" s="5"/>
      <c r="J76" s="5"/>
      <c r="K76" s="5"/>
      <c r="L76" s="5"/>
      <c r="M76" s="5"/>
      <c r="N76" s="5"/>
      <c r="O76" s="5"/>
      <c r="P76" s="5"/>
      <c r="Q76" s="5"/>
    </row>
    <row r="77" spans="1:17" ht="43.95" customHeight="1" thickBot="1">
      <c r="A77" s="12"/>
      <c r="B77" s="2" t="s">
        <v>38</v>
      </c>
      <c r="C77" s="13" t="s">
        <v>167</v>
      </c>
      <c r="D77" s="2" t="s">
        <v>11</v>
      </c>
      <c r="E77" s="2"/>
      <c r="F77" s="286">
        <v>200</v>
      </c>
      <c r="G77" s="33">
        <f t="shared" si="2"/>
        <v>0</v>
      </c>
      <c r="H77" s="248">
        <f t="shared" si="3"/>
        <v>0</v>
      </c>
      <c r="I77" s="5"/>
      <c r="J77" s="5"/>
      <c r="K77" s="5"/>
      <c r="L77" s="5"/>
      <c r="M77" s="5"/>
      <c r="N77" s="5"/>
      <c r="O77" s="5"/>
      <c r="P77" s="5"/>
      <c r="Q77" s="5"/>
    </row>
    <row r="78" spans="1:17" ht="43.95" customHeight="1" thickBot="1">
      <c r="A78" s="12"/>
      <c r="B78" s="2" t="s">
        <v>39</v>
      </c>
      <c r="C78" s="13" t="s">
        <v>173</v>
      </c>
      <c r="D78" s="2" t="s">
        <v>11</v>
      </c>
      <c r="E78" s="2"/>
      <c r="F78" s="286">
        <v>215</v>
      </c>
      <c r="G78" s="33">
        <f t="shared" si="2"/>
        <v>0</v>
      </c>
      <c r="H78" s="248">
        <f t="shared" si="3"/>
        <v>0</v>
      </c>
      <c r="I78" s="5"/>
      <c r="J78" s="5"/>
      <c r="K78" s="5"/>
      <c r="L78" s="5"/>
      <c r="M78" s="5"/>
      <c r="N78" s="5"/>
      <c r="O78" s="5"/>
      <c r="P78" s="5"/>
      <c r="Q78" s="5"/>
    </row>
    <row r="79" spans="1:17" ht="43.95" customHeight="1" thickBot="1">
      <c r="A79" s="12"/>
      <c r="B79" s="2" t="s">
        <v>40</v>
      </c>
      <c r="C79" s="13" t="s">
        <v>122</v>
      </c>
      <c r="D79" s="2" t="s">
        <v>11</v>
      </c>
      <c r="E79" s="2"/>
      <c r="F79" s="286">
        <v>233</v>
      </c>
      <c r="G79" s="33">
        <f t="shared" si="2"/>
        <v>0</v>
      </c>
      <c r="H79" s="248">
        <f t="shared" si="3"/>
        <v>0</v>
      </c>
      <c r="I79" s="5"/>
      <c r="J79" s="5"/>
      <c r="K79" s="5"/>
      <c r="L79" s="5"/>
      <c r="M79" s="5"/>
      <c r="N79" s="5"/>
      <c r="O79" s="5"/>
      <c r="P79" s="5"/>
      <c r="Q79" s="5"/>
    </row>
    <row r="80" spans="1:17" ht="43.95" customHeight="1" thickBot="1">
      <c r="A80" s="12"/>
      <c r="B80" s="2" t="s">
        <v>41</v>
      </c>
      <c r="C80" s="13" t="s">
        <v>123</v>
      </c>
      <c r="D80" s="2" t="s">
        <v>11</v>
      </c>
      <c r="E80" s="2"/>
      <c r="F80" s="286">
        <v>247</v>
      </c>
      <c r="G80" s="33">
        <f t="shared" si="2"/>
        <v>0</v>
      </c>
      <c r="H80" s="248">
        <f t="shared" si="3"/>
        <v>0</v>
      </c>
      <c r="I80" s="5"/>
      <c r="J80" s="5"/>
      <c r="K80" s="5"/>
      <c r="L80" s="5"/>
      <c r="M80" s="5"/>
      <c r="N80" s="5"/>
      <c r="O80" s="5"/>
      <c r="P80" s="5"/>
      <c r="Q80" s="5"/>
    </row>
    <row r="81" spans="1:17" ht="43.95" customHeight="1" thickBot="1">
      <c r="A81" s="12"/>
      <c r="B81" s="2" t="s">
        <v>42</v>
      </c>
      <c r="C81" s="13" t="s">
        <v>124</v>
      </c>
      <c r="D81" s="2" t="s">
        <v>11</v>
      </c>
      <c r="E81" s="2"/>
      <c r="F81" s="286">
        <v>265</v>
      </c>
      <c r="G81" s="33">
        <f t="shared" si="2"/>
        <v>0</v>
      </c>
      <c r="H81" s="248">
        <f t="shared" si="3"/>
        <v>0</v>
      </c>
      <c r="I81" s="5"/>
      <c r="J81" s="5"/>
      <c r="K81" s="5"/>
      <c r="L81" s="5"/>
      <c r="M81" s="5"/>
      <c r="N81" s="5"/>
      <c r="O81" s="5"/>
      <c r="P81" s="5"/>
      <c r="Q81" s="5"/>
    </row>
    <row r="82" spans="1:17" ht="43.95" customHeight="1" thickBot="1">
      <c r="A82" s="12"/>
      <c r="B82" s="2" t="s">
        <v>43</v>
      </c>
      <c r="C82" s="13" t="s">
        <v>125</v>
      </c>
      <c r="D82" s="2" t="s">
        <v>11</v>
      </c>
      <c r="E82" s="2"/>
      <c r="F82" s="286">
        <v>283</v>
      </c>
      <c r="G82" s="33">
        <f t="shared" si="2"/>
        <v>0</v>
      </c>
      <c r="H82" s="248">
        <f t="shared" si="3"/>
        <v>0</v>
      </c>
      <c r="I82" s="5"/>
      <c r="J82" s="5"/>
      <c r="K82" s="5"/>
      <c r="L82" s="5"/>
      <c r="M82" s="5"/>
      <c r="N82" s="5"/>
      <c r="O82" s="5"/>
      <c r="P82" s="5"/>
      <c r="Q82" s="5"/>
    </row>
    <row r="83" spans="1:17" ht="43.95" customHeight="1" thickBot="1">
      <c r="A83" s="12"/>
      <c r="B83" s="2" t="s">
        <v>44</v>
      </c>
      <c r="C83" s="13" t="s">
        <v>126</v>
      </c>
      <c r="D83" s="2" t="s">
        <v>11</v>
      </c>
      <c r="E83" s="2"/>
      <c r="F83" s="286">
        <v>298</v>
      </c>
      <c r="G83" s="33">
        <f t="shared" si="2"/>
        <v>0</v>
      </c>
      <c r="H83" s="248">
        <f t="shared" si="3"/>
        <v>0</v>
      </c>
      <c r="I83" s="5"/>
      <c r="J83" s="5"/>
      <c r="K83" s="5"/>
      <c r="L83" s="5"/>
      <c r="M83" s="5"/>
      <c r="N83" s="5"/>
      <c r="O83" s="5"/>
      <c r="P83" s="5"/>
      <c r="Q83" s="5"/>
    </row>
    <row r="84" spans="1:17" ht="43.95" customHeight="1" thickBot="1">
      <c r="A84" s="12"/>
      <c r="B84" s="2" t="s">
        <v>45</v>
      </c>
      <c r="C84" s="13" t="s">
        <v>127</v>
      </c>
      <c r="D84" s="2" t="s">
        <v>11</v>
      </c>
      <c r="E84" s="2"/>
      <c r="F84" s="286">
        <v>314</v>
      </c>
      <c r="G84" s="33">
        <f t="shared" si="2"/>
        <v>0</v>
      </c>
      <c r="H84" s="248">
        <f t="shared" si="3"/>
        <v>0</v>
      </c>
      <c r="I84" s="5"/>
      <c r="J84" s="5"/>
      <c r="K84" s="5"/>
      <c r="L84" s="5"/>
      <c r="M84" s="5"/>
      <c r="N84" s="5"/>
      <c r="O84" s="5"/>
      <c r="P84" s="5"/>
      <c r="Q84" s="5"/>
    </row>
    <row r="85" spans="1:17" ht="18" customHeight="1" thickBot="1">
      <c r="A85" s="12"/>
      <c r="B85" s="260" t="s">
        <v>46</v>
      </c>
      <c r="C85" s="261" t="s">
        <v>399</v>
      </c>
      <c r="D85" s="2" t="s">
        <v>11</v>
      </c>
      <c r="E85" s="2"/>
      <c r="F85" s="286">
        <v>348</v>
      </c>
      <c r="G85" s="33">
        <f t="shared" si="2"/>
        <v>0</v>
      </c>
      <c r="H85" s="248">
        <f t="shared" ref="H85:H101" si="5">E85</f>
        <v>0</v>
      </c>
      <c r="I85" s="5"/>
      <c r="J85" s="5"/>
      <c r="K85" s="5"/>
      <c r="L85" s="5"/>
      <c r="M85" s="5"/>
      <c r="N85" s="5"/>
      <c r="O85" s="5"/>
      <c r="P85" s="5"/>
      <c r="Q85" s="5"/>
    </row>
    <row r="86" spans="1:17" ht="18" customHeight="1" thickBot="1">
      <c r="A86" s="12"/>
      <c r="B86" s="260" t="s">
        <v>47</v>
      </c>
      <c r="C86" s="261" t="s">
        <v>400</v>
      </c>
      <c r="D86" s="2" t="s">
        <v>11</v>
      </c>
      <c r="E86" s="2"/>
      <c r="F86" s="286">
        <v>366</v>
      </c>
      <c r="G86" s="33">
        <f t="shared" si="2"/>
        <v>0</v>
      </c>
      <c r="H86" s="248">
        <f t="shared" si="5"/>
        <v>0</v>
      </c>
      <c r="I86" s="5"/>
      <c r="J86" s="5"/>
      <c r="K86" s="5"/>
      <c r="L86" s="5"/>
      <c r="M86" s="5"/>
      <c r="N86" s="5"/>
      <c r="O86" s="5"/>
      <c r="P86" s="5"/>
      <c r="Q86" s="5"/>
    </row>
    <row r="87" spans="1:17" ht="18" customHeight="1" thickBot="1">
      <c r="A87" s="12"/>
      <c r="B87" s="260" t="s">
        <v>48</v>
      </c>
      <c r="C87" s="261" t="s">
        <v>401</v>
      </c>
      <c r="D87" s="2" t="s">
        <v>11</v>
      </c>
      <c r="E87" s="2"/>
      <c r="F87" s="286">
        <v>370</v>
      </c>
      <c r="G87" s="33">
        <f t="shared" si="2"/>
        <v>0</v>
      </c>
      <c r="H87" s="248">
        <f t="shared" si="5"/>
        <v>0</v>
      </c>
      <c r="I87" s="5"/>
      <c r="J87" s="5"/>
      <c r="K87" s="5"/>
      <c r="L87" s="5"/>
      <c r="M87" s="5"/>
      <c r="N87" s="5"/>
      <c r="O87" s="5"/>
      <c r="P87" s="5"/>
      <c r="Q87" s="5"/>
    </row>
    <row r="88" spans="1:17" ht="18" customHeight="1" thickBot="1">
      <c r="A88" s="12"/>
      <c r="B88" s="260" t="s">
        <v>49</v>
      </c>
      <c r="C88" s="261" t="s">
        <v>402</v>
      </c>
      <c r="D88" s="2" t="s">
        <v>11</v>
      </c>
      <c r="E88" s="2"/>
      <c r="F88" s="286">
        <v>392</v>
      </c>
      <c r="G88" s="33">
        <f t="shared" si="2"/>
        <v>0</v>
      </c>
      <c r="H88" s="248">
        <f t="shared" si="5"/>
        <v>0</v>
      </c>
      <c r="I88" s="5"/>
      <c r="J88" s="5"/>
      <c r="K88" s="5"/>
      <c r="L88" s="5"/>
      <c r="M88" s="5"/>
      <c r="N88" s="5"/>
      <c r="O88" s="5"/>
      <c r="P88" s="5"/>
      <c r="Q88" s="5"/>
    </row>
    <row r="89" spans="1:17" ht="18" customHeight="1" thickBot="1">
      <c r="A89" s="12"/>
      <c r="B89" s="260" t="s">
        <v>50</v>
      </c>
      <c r="C89" s="261" t="s">
        <v>403</v>
      </c>
      <c r="D89" s="2" t="s">
        <v>11</v>
      </c>
      <c r="E89" s="2"/>
      <c r="F89" s="286">
        <v>407</v>
      </c>
      <c r="G89" s="33">
        <f t="shared" si="2"/>
        <v>0</v>
      </c>
      <c r="H89" s="248">
        <f t="shared" si="5"/>
        <v>0</v>
      </c>
      <c r="I89" s="5"/>
      <c r="J89" s="5"/>
      <c r="K89" s="5"/>
      <c r="L89" s="5"/>
      <c r="M89" s="5"/>
      <c r="N89" s="5"/>
      <c r="O89" s="5"/>
      <c r="P89" s="5"/>
      <c r="Q89" s="5"/>
    </row>
    <row r="90" spans="1:17" ht="18" customHeight="1" thickBot="1">
      <c r="A90" s="12"/>
      <c r="B90" s="260" t="s">
        <v>51</v>
      </c>
      <c r="C90" s="261" t="s">
        <v>404</v>
      </c>
      <c r="D90" s="2" t="s">
        <v>11</v>
      </c>
      <c r="E90" s="2"/>
      <c r="F90" s="286">
        <v>427</v>
      </c>
      <c r="G90" s="33">
        <f t="shared" si="2"/>
        <v>0</v>
      </c>
      <c r="H90" s="248">
        <f t="shared" si="5"/>
        <v>0</v>
      </c>
      <c r="I90" s="5"/>
      <c r="J90" s="5"/>
      <c r="K90" s="5"/>
      <c r="L90" s="5"/>
      <c r="M90" s="5"/>
      <c r="N90" s="5"/>
      <c r="O90" s="5"/>
      <c r="P90" s="5"/>
      <c r="Q90" s="5"/>
    </row>
    <row r="91" spans="1:17" ht="18" customHeight="1" thickBot="1">
      <c r="A91" s="12"/>
      <c r="B91" s="260" t="s">
        <v>52</v>
      </c>
      <c r="C91" s="261" t="s">
        <v>405</v>
      </c>
      <c r="D91" s="2" t="s">
        <v>11</v>
      </c>
      <c r="E91" s="2"/>
      <c r="F91" s="286">
        <v>452</v>
      </c>
      <c r="G91" s="33">
        <f t="shared" si="2"/>
        <v>0</v>
      </c>
      <c r="H91" s="248">
        <f t="shared" si="5"/>
        <v>0</v>
      </c>
      <c r="I91" s="5"/>
      <c r="J91" s="5"/>
      <c r="K91" s="5"/>
      <c r="L91" s="5"/>
      <c r="M91" s="5"/>
      <c r="N91" s="5"/>
      <c r="O91" s="5"/>
      <c r="P91" s="5"/>
      <c r="Q91" s="5"/>
    </row>
    <row r="92" spans="1:17" ht="18" customHeight="1" thickBot="1">
      <c r="A92" s="12"/>
      <c r="B92" s="260" t="s">
        <v>53</v>
      </c>
      <c r="C92" s="261" t="s">
        <v>406</v>
      </c>
      <c r="D92" s="2" t="s">
        <v>11</v>
      </c>
      <c r="E92" s="2"/>
      <c r="F92" s="286">
        <v>468</v>
      </c>
      <c r="G92" s="33">
        <f t="shared" si="2"/>
        <v>0</v>
      </c>
      <c r="H92" s="248">
        <f t="shared" si="5"/>
        <v>0</v>
      </c>
      <c r="I92" s="5"/>
      <c r="J92" s="5"/>
      <c r="K92" s="5"/>
      <c r="L92" s="5"/>
      <c r="M92" s="5"/>
      <c r="N92" s="5"/>
      <c r="O92" s="5"/>
      <c r="P92" s="5"/>
      <c r="Q92" s="5"/>
    </row>
    <row r="93" spans="1:17" ht="18" customHeight="1" thickBot="1">
      <c r="A93" s="12"/>
      <c r="B93" s="260" t="s">
        <v>54</v>
      </c>
      <c r="C93" s="261" t="s">
        <v>407</v>
      </c>
      <c r="D93" s="2" t="s">
        <v>11</v>
      </c>
      <c r="E93" s="2"/>
      <c r="F93" s="286">
        <v>478</v>
      </c>
      <c r="G93" s="33">
        <f t="shared" si="2"/>
        <v>0</v>
      </c>
      <c r="H93" s="248">
        <f t="shared" si="5"/>
        <v>0</v>
      </c>
      <c r="I93" s="5"/>
      <c r="J93" s="5"/>
      <c r="K93" s="5"/>
      <c r="L93" s="5"/>
      <c r="M93" s="5"/>
      <c r="N93" s="5"/>
      <c r="O93" s="5"/>
      <c r="P93" s="5"/>
      <c r="Q93" s="5"/>
    </row>
    <row r="94" spans="1:17" ht="18" customHeight="1" thickBot="1">
      <c r="A94" s="12"/>
      <c r="B94" s="260" t="s">
        <v>55</v>
      </c>
      <c r="C94" s="261" t="s">
        <v>408</v>
      </c>
      <c r="D94" s="2" t="s">
        <v>11</v>
      </c>
      <c r="E94" s="2"/>
      <c r="F94" s="286">
        <v>482</v>
      </c>
      <c r="G94" s="33">
        <f t="shared" si="2"/>
        <v>0</v>
      </c>
      <c r="H94" s="248">
        <f t="shared" si="5"/>
        <v>0</v>
      </c>
      <c r="I94" s="5"/>
      <c r="J94" s="5"/>
      <c r="K94" s="5"/>
      <c r="L94" s="5"/>
      <c r="M94" s="5"/>
      <c r="N94" s="5"/>
      <c r="O94" s="5"/>
      <c r="P94" s="5"/>
      <c r="Q94" s="5"/>
    </row>
    <row r="95" spans="1:17" ht="16.05" customHeight="1" thickBot="1">
      <c r="A95" s="326"/>
      <c r="B95" s="327" t="s">
        <v>129</v>
      </c>
      <c r="C95" s="328" t="s">
        <v>420</v>
      </c>
      <c r="D95" s="327" t="s">
        <v>11</v>
      </c>
      <c r="E95" s="327"/>
      <c r="F95" s="338">
        <v>54</v>
      </c>
      <c r="G95" s="33">
        <f t="shared" si="2"/>
        <v>0</v>
      </c>
      <c r="H95" s="330">
        <f t="shared" si="5"/>
        <v>0</v>
      </c>
      <c r="I95" s="331"/>
      <c r="J95" s="5"/>
      <c r="K95" s="5"/>
      <c r="L95" s="5"/>
      <c r="M95" s="5"/>
      <c r="N95" s="5"/>
      <c r="O95" s="5"/>
      <c r="P95" s="5"/>
      <c r="Q95" s="5"/>
    </row>
    <row r="96" spans="1:17" ht="16.05" customHeight="1" thickBot="1">
      <c r="A96" s="326"/>
      <c r="B96" s="327" t="s">
        <v>418</v>
      </c>
      <c r="C96" s="328" t="s">
        <v>419</v>
      </c>
      <c r="D96" s="327" t="s">
        <v>11</v>
      </c>
      <c r="E96" s="327"/>
      <c r="F96" s="338">
        <v>58</v>
      </c>
      <c r="G96" s="33">
        <f t="shared" si="2"/>
        <v>0</v>
      </c>
      <c r="H96" s="330">
        <f t="shared" si="5"/>
        <v>0</v>
      </c>
      <c r="I96" s="331"/>
      <c r="J96" s="5"/>
      <c r="K96" s="5"/>
      <c r="L96" s="5"/>
      <c r="M96" s="5"/>
      <c r="N96" s="5"/>
      <c r="O96" s="5"/>
      <c r="P96" s="5"/>
      <c r="Q96" s="5"/>
    </row>
    <row r="97" spans="1:17" ht="16.05" customHeight="1" thickBot="1">
      <c r="A97" s="334"/>
      <c r="B97" s="260" t="s">
        <v>421</v>
      </c>
      <c r="C97" s="332" t="s">
        <v>422</v>
      </c>
      <c r="D97" s="260" t="s">
        <v>11</v>
      </c>
      <c r="E97" s="333"/>
      <c r="F97" s="339">
        <v>76</v>
      </c>
      <c r="G97" s="33">
        <f t="shared" si="2"/>
        <v>0</v>
      </c>
      <c r="H97" s="330">
        <f t="shared" si="5"/>
        <v>0</v>
      </c>
      <c r="I97" s="331"/>
      <c r="J97" s="5"/>
      <c r="K97" s="5"/>
      <c r="L97" s="5"/>
      <c r="M97" s="5"/>
      <c r="N97" s="5"/>
      <c r="O97" s="5"/>
      <c r="P97" s="5"/>
      <c r="Q97" s="5"/>
    </row>
    <row r="98" spans="1:17" ht="16.05" customHeight="1" thickBot="1">
      <c r="A98" s="334"/>
      <c r="B98" s="260" t="s">
        <v>412</v>
      </c>
      <c r="C98" s="332" t="s">
        <v>423</v>
      </c>
      <c r="D98" s="260" t="s">
        <v>11</v>
      </c>
      <c r="E98" s="333"/>
      <c r="F98" s="339">
        <v>82</v>
      </c>
      <c r="G98" s="33">
        <f t="shared" si="2"/>
        <v>0</v>
      </c>
      <c r="H98" s="330">
        <f t="shared" si="5"/>
        <v>0</v>
      </c>
      <c r="I98" s="331"/>
      <c r="J98" s="5"/>
      <c r="K98" s="5"/>
      <c r="L98" s="5"/>
      <c r="M98" s="5"/>
      <c r="N98" s="5"/>
      <c r="O98" s="5"/>
      <c r="P98" s="5"/>
      <c r="Q98" s="5"/>
    </row>
    <row r="99" spans="1:17" ht="16.05" customHeight="1" thickBot="1">
      <c r="A99" s="334"/>
      <c r="B99" s="260" t="s">
        <v>130</v>
      </c>
      <c r="C99" s="332" t="s">
        <v>424</v>
      </c>
      <c r="D99" s="260" t="s">
        <v>11</v>
      </c>
      <c r="E99" s="333"/>
      <c r="F99" s="339">
        <v>96</v>
      </c>
      <c r="G99" s="33">
        <f t="shared" si="2"/>
        <v>0</v>
      </c>
      <c r="H99" s="330">
        <f t="shared" si="5"/>
        <v>0</v>
      </c>
      <c r="I99" s="331"/>
      <c r="J99" s="5"/>
      <c r="K99" s="5"/>
      <c r="L99" s="5"/>
      <c r="M99" s="5"/>
      <c r="N99" s="5"/>
      <c r="O99" s="5"/>
      <c r="P99" s="5"/>
      <c r="Q99" s="5"/>
    </row>
    <row r="100" spans="1:17" ht="16.05" customHeight="1" thickBot="1">
      <c r="A100" s="334"/>
      <c r="B100" s="260" t="s">
        <v>131</v>
      </c>
      <c r="C100" s="332" t="s">
        <v>425</v>
      </c>
      <c r="D100" s="260" t="s">
        <v>11</v>
      </c>
      <c r="E100" s="333"/>
      <c r="F100" s="339">
        <v>102</v>
      </c>
      <c r="G100" s="33">
        <f t="shared" si="2"/>
        <v>0</v>
      </c>
      <c r="H100" s="330">
        <f t="shared" si="5"/>
        <v>0</v>
      </c>
      <c r="I100" s="331"/>
      <c r="J100" s="5"/>
      <c r="K100" s="5"/>
      <c r="L100" s="5"/>
      <c r="M100" s="5"/>
      <c r="N100" s="5"/>
      <c r="O100" s="5"/>
      <c r="P100" s="5"/>
      <c r="Q100" s="5"/>
    </row>
    <row r="101" spans="1:17" ht="16.05" customHeight="1" thickBot="1">
      <c r="A101" s="334"/>
      <c r="B101" s="260" t="s">
        <v>325</v>
      </c>
      <c r="C101" s="332" t="s">
        <v>426</v>
      </c>
      <c r="D101" s="260" t="s">
        <v>11</v>
      </c>
      <c r="E101" s="333"/>
      <c r="F101" s="339">
        <v>120</v>
      </c>
      <c r="G101" s="33">
        <f t="shared" si="2"/>
        <v>0</v>
      </c>
      <c r="H101" s="330">
        <f t="shared" si="5"/>
        <v>0</v>
      </c>
      <c r="I101" s="331"/>
      <c r="J101" s="5"/>
      <c r="K101" s="5"/>
      <c r="L101" s="5"/>
      <c r="M101" s="5"/>
      <c r="N101" s="5"/>
      <c r="O101" s="5"/>
      <c r="P101" s="5"/>
      <c r="Q101" s="5"/>
    </row>
    <row r="102" spans="1:17" ht="18" customHeight="1" thickBot="1">
      <c r="A102" s="324"/>
      <c r="B102" s="20" t="s">
        <v>84</v>
      </c>
      <c r="C102" s="318" t="s">
        <v>136</v>
      </c>
      <c r="D102" s="20" t="s">
        <v>13</v>
      </c>
      <c r="E102" s="20"/>
      <c r="F102" s="365">
        <v>4</v>
      </c>
      <c r="G102" s="33">
        <f t="shared" si="2"/>
        <v>0</v>
      </c>
      <c r="H102" s="248">
        <f t="shared" ref="H102:H111" si="6">E102</f>
        <v>0</v>
      </c>
      <c r="I102" s="341"/>
      <c r="J102" s="5"/>
      <c r="K102" s="5"/>
      <c r="L102" s="5"/>
      <c r="M102" s="5"/>
      <c r="N102" s="5"/>
    </row>
    <row r="103" spans="1:17" ht="18" customHeight="1" thickBot="1">
      <c r="A103" s="12"/>
      <c r="B103" s="2" t="s">
        <v>24</v>
      </c>
      <c r="C103" s="13" t="s">
        <v>137</v>
      </c>
      <c r="D103" s="2" t="s">
        <v>13</v>
      </c>
      <c r="E103" s="2"/>
      <c r="F103" s="351">
        <v>4</v>
      </c>
      <c r="G103" s="33">
        <f t="shared" si="2"/>
        <v>0</v>
      </c>
      <c r="H103" s="248">
        <f t="shared" si="6"/>
        <v>0</v>
      </c>
      <c r="I103" s="341"/>
      <c r="J103" s="5"/>
      <c r="K103" s="5"/>
      <c r="L103" s="5"/>
      <c r="M103" s="5"/>
      <c r="N103" s="5"/>
    </row>
    <row r="104" spans="1:17" ht="18" customHeight="1" thickBot="1">
      <c r="A104" s="12"/>
      <c r="B104" s="2" t="s">
        <v>58</v>
      </c>
      <c r="C104" s="13" t="s">
        <v>138</v>
      </c>
      <c r="D104" s="2" t="s">
        <v>13</v>
      </c>
      <c r="E104" s="2"/>
      <c r="F104" s="351">
        <v>4</v>
      </c>
      <c r="G104" s="33">
        <f t="shared" si="2"/>
        <v>0</v>
      </c>
      <c r="H104" s="248">
        <f t="shared" si="6"/>
        <v>0</v>
      </c>
      <c r="I104" s="341"/>
      <c r="J104" s="5"/>
      <c r="K104" s="5"/>
      <c r="L104" s="5"/>
      <c r="M104" s="5"/>
      <c r="N104" s="5"/>
    </row>
    <row r="105" spans="1:17" ht="18" customHeight="1" thickBot="1">
      <c r="A105" s="12"/>
      <c r="B105" s="2" t="s">
        <v>86</v>
      </c>
      <c r="C105" s="13" t="s">
        <v>139</v>
      </c>
      <c r="D105" s="2" t="s">
        <v>13</v>
      </c>
      <c r="E105" s="2"/>
      <c r="F105" s="351">
        <v>4</v>
      </c>
      <c r="G105" s="33">
        <f t="shared" si="2"/>
        <v>0</v>
      </c>
      <c r="H105" s="248">
        <f t="shared" si="6"/>
        <v>0</v>
      </c>
      <c r="I105" s="341"/>
      <c r="J105" s="5"/>
      <c r="K105" s="5"/>
      <c r="L105" s="5"/>
      <c r="M105" s="5"/>
      <c r="N105" s="5"/>
    </row>
    <row r="106" spans="1:17" ht="18" customHeight="1" thickBot="1">
      <c r="A106" s="12"/>
      <c r="B106" s="2" t="s">
        <v>428</v>
      </c>
      <c r="C106" s="13" t="s">
        <v>429</v>
      </c>
      <c r="D106" s="2" t="s">
        <v>13</v>
      </c>
      <c r="E106" s="2"/>
      <c r="F106" s="351">
        <v>4</v>
      </c>
      <c r="G106" s="33">
        <f t="shared" si="2"/>
        <v>0</v>
      </c>
      <c r="H106" s="248">
        <f t="shared" si="6"/>
        <v>0</v>
      </c>
      <c r="I106" s="341"/>
      <c r="J106" s="5"/>
      <c r="K106" s="5"/>
      <c r="L106" s="5"/>
      <c r="M106" s="5"/>
      <c r="N106" s="5"/>
    </row>
    <row r="107" spans="1:17" ht="18" customHeight="1" thickBot="1">
      <c r="A107" s="12"/>
      <c r="B107" s="2">
        <v>91001</v>
      </c>
      <c r="C107" s="13" t="s">
        <v>89</v>
      </c>
      <c r="D107" s="2" t="s">
        <v>13</v>
      </c>
      <c r="E107" s="2"/>
      <c r="F107" s="351">
        <v>12</v>
      </c>
      <c r="G107" s="33">
        <f t="shared" si="2"/>
        <v>0</v>
      </c>
      <c r="H107" s="248">
        <f t="shared" si="6"/>
        <v>0</v>
      </c>
      <c r="I107" s="341"/>
      <c r="J107" s="5"/>
      <c r="K107" s="5"/>
      <c r="L107" s="5"/>
      <c r="M107" s="5"/>
      <c r="N107" s="5"/>
    </row>
    <row r="108" spans="1:17" ht="18" customHeight="1" thickBot="1">
      <c r="A108" s="12"/>
      <c r="B108" s="2">
        <v>91002</v>
      </c>
      <c r="C108" s="13" t="s">
        <v>179</v>
      </c>
      <c r="D108" s="2" t="s">
        <v>13</v>
      </c>
      <c r="E108" s="2"/>
      <c r="F108" s="351">
        <v>15</v>
      </c>
      <c r="G108" s="33">
        <f t="shared" si="2"/>
        <v>0</v>
      </c>
      <c r="H108" s="248">
        <f t="shared" si="6"/>
        <v>0</v>
      </c>
      <c r="I108" s="341"/>
      <c r="J108" s="5"/>
      <c r="K108" s="5"/>
      <c r="L108" s="5"/>
      <c r="M108" s="5"/>
      <c r="N108" s="5"/>
    </row>
    <row r="109" spans="1:17" ht="18" customHeight="1" thickBot="1">
      <c r="A109" s="12"/>
      <c r="B109" s="2">
        <v>91201</v>
      </c>
      <c r="C109" s="13" t="s">
        <v>90</v>
      </c>
      <c r="D109" s="2" t="s">
        <v>13</v>
      </c>
      <c r="E109" s="2"/>
      <c r="F109" s="351">
        <v>21</v>
      </c>
      <c r="G109" s="33">
        <f t="shared" si="2"/>
        <v>0</v>
      </c>
      <c r="H109" s="248">
        <f t="shared" si="6"/>
        <v>0</v>
      </c>
      <c r="I109" s="341"/>
      <c r="J109" s="5"/>
      <c r="K109" s="5"/>
      <c r="L109" s="5"/>
      <c r="M109" s="5"/>
      <c r="N109" s="5"/>
    </row>
    <row r="110" spans="1:17" ht="18" customHeight="1" thickBot="1">
      <c r="A110" s="12"/>
      <c r="B110" s="2">
        <v>91202</v>
      </c>
      <c r="C110" s="13" t="s">
        <v>180</v>
      </c>
      <c r="D110" s="2" t="s">
        <v>13</v>
      </c>
      <c r="E110" s="2"/>
      <c r="F110" s="351">
        <v>32</v>
      </c>
      <c r="G110" s="33">
        <f t="shared" si="2"/>
        <v>0</v>
      </c>
      <c r="H110" s="248">
        <f t="shared" si="6"/>
        <v>0</v>
      </c>
      <c r="I110" s="341"/>
      <c r="J110" s="5"/>
      <c r="K110" s="5"/>
      <c r="L110" s="5"/>
      <c r="M110" s="5"/>
      <c r="N110" s="5"/>
    </row>
    <row r="111" spans="1:17" ht="18" customHeight="1" thickBot="1">
      <c r="A111" s="12"/>
      <c r="B111" s="2">
        <v>91203</v>
      </c>
      <c r="C111" s="13" t="s">
        <v>181</v>
      </c>
      <c r="D111" s="2" t="s">
        <v>13</v>
      </c>
      <c r="E111" s="2"/>
      <c r="F111" s="351">
        <v>49</v>
      </c>
      <c r="G111" s="33">
        <f t="shared" si="2"/>
        <v>0</v>
      </c>
      <c r="H111" s="248">
        <f t="shared" si="6"/>
        <v>0</v>
      </c>
      <c r="I111" s="341"/>
      <c r="J111" s="5"/>
      <c r="K111" s="5"/>
      <c r="L111" s="5"/>
      <c r="M111" s="5"/>
      <c r="N111" s="5"/>
    </row>
    <row r="112" spans="1:17" ht="28.05" customHeight="1" thickBot="1">
      <c r="A112" s="161"/>
      <c r="B112" s="272" t="s">
        <v>128</v>
      </c>
      <c r="C112" s="163" t="s">
        <v>427</v>
      </c>
      <c r="D112" s="272" t="s">
        <v>11</v>
      </c>
      <c r="E112" s="272"/>
      <c r="F112" s="288">
        <v>342</v>
      </c>
      <c r="G112" s="164">
        <f t="shared" si="2"/>
        <v>0</v>
      </c>
      <c r="H112" s="248">
        <f t="shared" ref="H112" si="7">E112</f>
        <v>0</v>
      </c>
      <c r="I112" s="5"/>
      <c r="J112" s="5"/>
      <c r="K112" s="5"/>
      <c r="L112" s="5"/>
      <c r="M112" s="5"/>
      <c r="N112" s="5"/>
      <c r="O112" s="5"/>
      <c r="P112" s="5"/>
      <c r="Q112" s="5"/>
    </row>
    <row r="113" spans="1:17" ht="16.95" customHeight="1" thickTop="1" thickBot="1">
      <c r="A113" s="587" t="s">
        <v>591</v>
      </c>
      <c r="B113" s="588"/>
      <c r="C113" s="588"/>
      <c r="D113" s="373"/>
      <c r="E113" s="374"/>
      <c r="F113" s="375"/>
      <c r="G113" s="376"/>
      <c r="H113" s="248">
        <f>SUM(H114:H115)</f>
        <v>0</v>
      </c>
      <c r="I113" s="341"/>
      <c r="J113" s="5"/>
      <c r="K113" s="5"/>
      <c r="L113" s="5"/>
      <c r="M113" s="5"/>
      <c r="N113" s="5"/>
      <c r="O113" s="5"/>
      <c r="P113" s="5"/>
      <c r="Q113" s="5"/>
    </row>
    <row r="114" spans="1:17" ht="18" customHeight="1" thickTop="1" thickBot="1">
      <c r="A114" s="377"/>
      <c r="B114" s="327" t="s">
        <v>434</v>
      </c>
      <c r="C114" s="328" t="s">
        <v>435</v>
      </c>
      <c r="D114" s="327" t="s">
        <v>436</v>
      </c>
      <c r="E114" s="327"/>
      <c r="F114" s="338">
        <v>48</v>
      </c>
      <c r="G114" s="494">
        <f>E114*F114</f>
        <v>0</v>
      </c>
      <c r="H114" s="330">
        <f>E114</f>
        <v>0</v>
      </c>
      <c r="I114" s="353"/>
      <c r="J114" s="5"/>
      <c r="K114" s="5"/>
      <c r="L114" s="5"/>
      <c r="M114" s="5"/>
      <c r="N114" s="5"/>
      <c r="O114" s="5"/>
      <c r="P114" s="5"/>
      <c r="Q114" s="5"/>
    </row>
    <row r="115" spans="1:17" ht="16.95" customHeight="1" thickBot="1">
      <c r="A115" s="379"/>
      <c r="B115" s="380" t="s">
        <v>437</v>
      </c>
      <c r="C115" s="348" t="s">
        <v>438</v>
      </c>
      <c r="D115" s="347" t="s">
        <v>439</v>
      </c>
      <c r="E115" s="347"/>
      <c r="F115" s="504">
        <v>145</v>
      </c>
      <c r="G115" s="495">
        <f t="shared" ref="G115" si="8">E115*F115</f>
        <v>0</v>
      </c>
      <c r="H115" s="330">
        <f t="shared" ref="H115" si="9">E115</f>
        <v>0</v>
      </c>
      <c r="I115" s="353"/>
      <c r="J115" s="46"/>
      <c r="K115" s="536"/>
      <c r="L115" s="536"/>
      <c r="M115" s="536"/>
      <c r="N115" s="536"/>
      <c r="O115" s="536"/>
      <c r="P115" s="5"/>
      <c r="Q115" s="5"/>
    </row>
    <row r="116" spans="1:17" ht="16.95" customHeight="1" thickTop="1" thickBot="1">
      <c r="A116" s="597" t="s">
        <v>440</v>
      </c>
      <c r="B116" s="598"/>
      <c r="C116" s="598"/>
      <c r="D116" s="447"/>
      <c r="E116" s="447"/>
      <c r="F116" s="505"/>
      <c r="G116" s="496"/>
      <c r="H116" s="248">
        <f>SUM(H117:H131)</f>
        <v>0</v>
      </c>
      <c r="I116" s="341"/>
      <c r="J116" s="192"/>
      <c r="K116" s="46"/>
      <c r="L116" s="46"/>
      <c r="M116" s="46"/>
      <c r="N116" s="46"/>
      <c r="O116" s="46"/>
      <c r="P116" s="5"/>
      <c r="Q116" s="5"/>
    </row>
    <row r="117" spans="1:17" ht="18" customHeight="1" thickTop="1" thickBot="1">
      <c r="A117" s="366"/>
      <c r="B117" s="367" t="s">
        <v>35</v>
      </c>
      <c r="C117" s="368" t="s">
        <v>441</v>
      </c>
      <c r="D117" s="367" t="s">
        <v>11</v>
      </c>
      <c r="E117" s="320"/>
      <c r="F117" s="369">
        <v>104</v>
      </c>
      <c r="G117" s="497">
        <f t="shared" ref="G117:G131" si="10">E117*F117</f>
        <v>0</v>
      </c>
      <c r="H117" s="330">
        <f t="shared" ref="H117:H131" si="11">E117</f>
        <v>0</v>
      </c>
      <c r="I117" s="331"/>
      <c r="J117" s="46"/>
      <c r="K117" s="46"/>
      <c r="L117" s="46"/>
      <c r="M117" s="46"/>
      <c r="N117" s="46"/>
      <c r="O117" s="46"/>
      <c r="P117" s="5"/>
      <c r="Q117" s="5"/>
    </row>
    <row r="118" spans="1:17" ht="18" customHeight="1" thickBot="1">
      <c r="A118" s="334"/>
      <c r="B118" s="260" t="s">
        <v>36</v>
      </c>
      <c r="C118" s="332" t="s">
        <v>442</v>
      </c>
      <c r="D118" s="260" t="s">
        <v>11</v>
      </c>
      <c r="E118" s="20"/>
      <c r="F118" s="339">
        <v>120</v>
      </c>
      <c r="G118" s="498">
        <f t="shared" si="10"/>
        <v>0</v>
      </c>
      <c r="H118" s="330">
        <f t="shared" si="11"/>
        <v>0</v>
      </c>
      <c r="I118" s="331"/>
      <c r="J118" s="46"/>
      <c r="K118" s="46"/>
      <c r="L118" s="46"/>
      <c r="M118" s="46"/>
      <c r="N118" s="46"/>
      <c r="O118" s="46"/>
      <c r="P118" s="5"/>
      <c r="Q118" s="5"/>
    </row>
    <row r="119" spans="1:17" ht="18" customHeight="1" thickBot="1">
      <c r="A119" s="334"/>
      <c r="B119" s="260" t="s">
        <v>37</v>
      </c>
      <c r="C119" s="332" t="s">
        <v>443</v>
      </c>
      <c r="D119" s="260" t="s">
        <v>11</v>
      </c>
      <c r="E119" s="20"/>
      <c r="F119" s="339">
        <v>136</v>
      </c>
      <c r="G119" s="498">
        <f t="shared" si="10"/>
        <v>0</v>
      </c>
      <c r="H119" s="330">
        <f t="shared" si="11"/>
        <v>0</v>
      </c>
      <c r="I119" s="331"/>
      <c r="J119" s="5"/>
      <c r="K119" s="5"/>
      <c r="L119" s="5"/>
      <c r="M119" s="5"/>
      <c r="N119" s="5"/>
      <c r="O119" s="5"/>
      <c r="P119" s="5"/>
      <c r="Q119" s="5"/>
    </row>
    <row r="120" spans="1:17" ht="18" customHeight="1" thickBot="1">
      <c r="A120" s="334"/>
      <c r="B120" s="260" t="s">
        <v>23</v>
      </c>
      <c r="C120" s="332" t="s">
        <v>444</v>
      </c>
      <c r="D120" s="260" t="s">
        <v>11</v>
      </c>
      <c r="E120" s="20"/>
      <c r="F120" s="339">
        <v>151</v>
      </c>
      <c r="G120" s="498">
        <f t="shared" si="10"/>
        <v>0</v>
      </c>
      <c r="H120" s="330">
        <f t="shared" si="11"/>
        <v>0</v>
      </c>
      <c r="I120" s="331"/>
      <c r="J120" s="5"/>
      <c r="K120" s="5"/>
      <c r="L120" s="5"/>
      <c r="M120" s="5"/>
      <c r="N120" s="5"/>
      <c r="O120" s="5"/>
      <c r="P120" s="5"/>
      <c r="Q120" s="5"/>
    </row>
    <row r="121" spans="1:17" ht="18" customHeight="1" thickBot="1">
      <c r="A121" s="334"/>
      <c r="B121" s="260" t="s">
        <v>22</v>
      </c>
      <c r="C121" s="332" t="s">
        <v>445</v>
      </c>
      <c r="D121" s="260" t="s">
        <v>11</v>
      </c>
      <c r="E121" s="20"/>
      <c r="F121" s="339">
        <v>168</v>
      </c>
      <c r="G121" s="498">
        <f t="shared" si="10"/>
        <v>0</v>
      </c>
      <c r="H121" s="330">
        <f t="shared" si="11"/>
        <v>0</v>
      </c>
      <c r="I121" s="331"/>
      <c r="J121" s="5"/>
      <c r="K121" s="5"/>
      <c r="L121" s="5"/>
      <c r="M121" s="5"/>
      <c r="N121" s="5"/>
      <c r="O121" s="5"/>
      <c r="P121" s="5"/>
      <c r="Q121" s="5"/>
    </row>
    <row r="122" spans="1:17" ht="16.95" customHeight="1" thickBot="1">
      <c r="A122" s="334"/>
      <c r="B122" s="260" t="s">
        <v>21</v>
      </c>
      <c r="C122" s="332" t="s">
        <v>446</v>
      </c>
      <c r="D122" s="260" t="s">
        <v>11</v>
      </c>
      <c r="E122" s="20"/>
      <c r="F122" s="339">
        <v>184</v>
      </c>
      <c r="G122" s="498">
        <f t="shared" si="10"/>
        <v>0</v>
      </c>
      <c r="H122" s="330">
        <f t="shared" si="11"/>
        <v>0</v>
      </c>
      <c r="I122" s="331"/>
      <c r="J122" s="5"/>
      <c r="K122" s="5"/>
      <c r="L122" s="5"/>
      <c r="M122" s="5" t="s">
        <v>85</v>
      </c>
      <c r="N122" s="5"/>
      <c r="O122" s="5"/>
      <c r="P122" s="5"/>
      <c r="Q122" s="5"/>
    </row>
    <row r="123" spans="1:17" ht="18" customHeight="1" thickBot="1">
      <c r="A123" s="334"/>
      <c r="B123" s="260" t="s">
        <v>38</v>
      </c>
      <c r="C123" s="332" t="s">
        <v>447</v>
      </c>
      <c r="D123" s="260" t="s">
        <v>11</v>
      </c>
      <c r="E123" s="20"/>
      <c r="F123" s="339">
        <v>200</v>
      </c>
      <c r="G123" s="498">
        <f t="shared" si="10"/>
        <v>0</v>
      </c>
      <c r="H123" s="330">
        <f t="shared" si="11"/>
        <v>0</v>
      </c>
      <c r="I123" s="331"/>
      <c r="J123" s="5"/>
      <c r="K123" s="5"/>
      <c r="L123" s="5"/>
      <c r="M123" s="5"/>
      <c r="N123" s="5"/>
      <c r="O123" s="5"/>
      <c r="P123" s="5"/>
      <c r="Q123" s="5"/>
    </row>
    <row r="124" spans="1:17" ht="16.95" customHeight="1" thickBot="1">
      <c r="A124" s="334"/>
      <c r="B124" s="260" t="s">
        <v>39</v>
      </c>
      <c r="C124" s="332" t="s">
        <v>448</v>
      </c>
      <c r="D124" s="260" t="s">
        <v>11</v>
      </c>
      <c r="E124" s="20"/>
      <c r="F124" s="339">
        <v>215</v>
      </c>
      <c r="G124" s="498">
        <f t="shared" si="10"/>
        <v>0</v>
      </c>
      <c r="H124" s="330">
        <f t="shared" si="11"/>
        <v>0</v>
      </c>
      <c r="I124" s="331"/>
      <c r="J124" s="5"/>
      <c r="K124" s="5"/>
      <c r="L124" s="5"/>
      <c r="M124" s="5"/>
      <c r="N124" s="5"/>
      <c r="O124" s="5"/>
      <c r="P124" s="5"/>
      <c r="Q124" s="5"/>
    </row>
    <row r="125" spans="1:17" ht="18" customHeight="1" thickBot="1">
      <c r="A125" s="334"/>
      <c r="B125" s="260" t="s">
        <v>40</v>
      </c>
      <c r="C125" s="332" t="s">
        <v>449</v>
      </c>
      <c r="D125" s="260" t="s">
        <v>11</v>
      </c>
      <c r="E125" s="20"/>
      <c r="F125" s="339">
        <v>233</v>
      </c>
      <c r="G125" s="498">
        <f t="shared" si="10"/>
        <v>0</v>
      </c>
      <c r="H125" s="330">
        <f t="shared" si="11"/>
        <v>0</v>
      </c>
      <c r="I125" s="331"/>
      <c r="J125" s="5"/>
      <c r="K125" s="5"/>
      <c r="L125" s="5"/>
      <c r="M125" s="5"/>
      <c r="N125" s="5"/>
      <c r="O125" s="5"/>
      <c r="P125" s="5"/>
      <c r="Q125" s="5"/>
    </row>
    <row r="126" spans="1:17" ht="18" customHeight="1" thickBot="1">
      <c r="A126" s="334"/>
      <c r="B126" s="260" t="s">
        <v>41</v>
      </c>
      <c r="C126" s="332" t="s">
        <v>450</v>
      </c>
      <c r="D126" s="260" t="s">
        <v>11</v>
      </c>
      <c r="E126" s="20"/>
      <c r="F126" s="339">
        <v>247</v>
      </c>
      <c r="G126" s="498">
        <f t="shared" si="10"/>
        <v>0</v>
      </c>
      <c r="H126" s="330">
        <f t="shared" si="11"/>
        <v>0</v>
      </c>
      <c r="I126" s="331"/>
      <c r="J126" s="5"/>
      <c r="K126" s="5"/>
      <c r="L126" s="5"/>
      <c r="M126" s="5"/>
      <c r="N126" s="5"/>
      <c r="O126" s="5"/>
      <c r="P126" s="5"/>
      <c r="Q126" s="5"/>
    </row>
    <row r="127" spans="1:17" ht="18" customHeight="1" thickBot="1">
      <c r="A127" s="334"/>
      <c r="B127" s="260" t="s">
        <v>42</v>
      </c>
      <c r="C127" s="332" t="s">
        <v>451</v>
      </c>
      <c r="D127" s="260" t="s">
        <v>11</v>
      </c>
      <c r="E127" s="20"/>
      <c r="F127" s="339">
        <v>265</v>
      </c>
      <c r="G127" s="498">
        <f t="shared" si="10"/>
        <v>0</v>
      </c>
      <c r="H127" s="330">
        <f t="shared" si="11"/>
        <v>0</v>
      </c>
      <c r="I127" s="331"/>
      <c r="J127" s="5"/>
      <c r="K127" s="5"/>
      <c r="L127" s="5"/>
      <c r="M127" s="5"/>
      <c r="N127" s="5"/>
      <c r="O127" s="5"/>
      <c r="P127" s="5"/>
      <c r="Q127" s="5"/>
    </row>
    <row r="128" spans="1:17" ht="18" customHeight="1" thickBot="1">
      <c r="A128" s="334"/>
      <c r="B128" s="260" t="s">
        <v>43</v>
      </c>
      <c r="C128" s="332" t="s">
        <v>452</v>
      </c>
      <c r="D128" s="260" t="s">
        <v>11</v>
      </c>
      <c r="E128" s="20"/>
      <c r="F128" s="339">
        <v>283</v>
      </c>
      <c r="G128" s="498">
        <f t="shared" si="10"/>
        <v>0</v>
      </c>
      <c r="H128" s="330">
        <f t="shared" si="11"/>
        <v>0</v>
      </c>
      <c r="I128" s="331"/>
      <c r="J128" s="5"/>
      <c r="K128" s="5"/>
      <c r="L128" s="5"/>
      <c r="M128" s="5"/>
      <c r="N128" s="5"/>
      <c r="O128" s="5"/>
      <c r="P128" s="5"/>
      <c r="Q128" s="5"/>
    </row>
    <row r="129" spans="1:17" ht="18" customHeight="1" thickBot="1">
      <c r="A129" s="334"/>
      <c r="B129" s="260" t="s">
        <v>44</v>
      </c>
      <c r="C129" s="332" t="s">
        <v>453</v>
      </c>
      <c r="D129" s="260" t="s">
        <v>11</v>
      </c>
      <c r="E129" s="20"/>
      <c r="F129" s="339">
        <v>298</v>
      </c>
      <c r="G129" s="498">
        <f t="shared" si="10"/>
        <v>0</v>
      </c>
      <c r="H129" s="330">
        <f t="shared" si="11"/>
        <v>0</v>
      </c>
      <c r="I129" s="331"/>
      <c r="J129" s="5"/>
      <c r="K129" s="5"/>
      <c r="L129" s="5"/>
      <c r="M129" s="5"/>
      <c r="N129" s="5"/>
      <c r="O129" s="5"/>
      <c r="P129" s="5"/>
      <c r="Q129" s="5"/>
    </row>
    <row r="130" spans="1:17" ht="18" customHeight="1" thickBot="1">
      <c r="A130" s="334"/>
      <c r="B130" s="260" t="s">
        <v>45</v>
      </c>
      <c r="C130" s="332" t="s">
        <v>454</v>
      </c>
      <c r="D130" s="260" t="s">
        <v>11</v>
      </c>
      <c r="E130" s="20"/>
      <c r="F130" s="339">
        <v>314</v>
      </c>
      <c r="G130" s="498">
        <f t="shared" si="10"/>
        <v>0</v>
      </c>
      <c r="H130" s="330">
        <f t="shared" si="11"/>
        <v>0</v>
      </c>
      <c r="I130" s="331"/>
      <c r="J130" s="5"/>
      <c r="K130" s="5"/>
      <c r="L130" s="5"/>
      <c r="M130" s="5"/>
      <c r="N130" s="5"/>
      <c r="O130" s="5"/>
      <c r="P130" s="5"/>
      <c r="Q130" s="5"/>
    </row>
    <row r="131" spans="1:17" ht="16.95" customHeight="1" thickBot="1">
      <c r="A131" s="416"/>
      <c r="B131" s="417" t="s">
        <v>128</v>
      </c>
      <c r="C131" s="418" t="s">
        <v>455</v>
      </c>
      <c r="D131" s="417" t="s">
        <v>11</v>
      </c>
      <c r="E131" s="450"/>
      <c r="F131" s="506">
        <v>342</v>
      </c>
      <c r="G131" s="499">
        <f t="shared" si="10"/>
        <v>0</v>
      </c>
      <c r="H131" s="330">
        <f t="shared" si="11"/>
        <v>0</v>
      </c>
      <c r="I131" s="331"/>
      <c r="J131" s="5"/>
      <c r="K131" s="5"/>
      <c r="L131" s="5"/>
      <c r="M131" s="5"/>
      <c r="N131" s="5"/>
      <c r="O131" s="5"/>
      <c r="P131" s="5"/>
      <c r="Q131" s="5"/>
    </row>
    <row r="132" spans="1:17" ht="18" customHeight="1" thickTop="1" thickBot="1">
      <c r="A132" s="599" t="s">
        <v>456</v>
      </c>
      <c r="B132" s="600"/>
      <c r="C132" s="600"/>
      <c r="D132" s="451"/>
      <c r="E132" s="451"/>
      <c r="F132" s="507"/>
      <c r="G132" s="500"/>
      <c r="H132" s="248">
        <f>SUM(H133:H143)</f>
        <v>0</v>
      </c>
      <c r="I132" s="341"/>
      <c r="J132" s="5"/>
      <c r="K132" s="46"/>
      <c r="L132" s="46"/>
      <c r="M132" s="46"/>
      <c r="N132" s="46"/>
      <c r="O132" s="46"/>
      <c r="P132" s="5"/>
      <c r="Q132" s="5"/>
    </row>
    <row r="133" spans="1:17" ht="18" customHeight="1" thickTop="1" thickBot="1">
      <c r="A133" s="326"/>
      <c r="B133" s="388" t="s">
        <v>457</v>
      </c>
      <c r="C133" s="389" t="s">
        <v>458</v>
      </c>
      <c r="D133" s="327" t="s">
        <v>11</v>
      </c>
      <c r="E133" s="314"/>
      <c r="F133" s="338">
        <v>158</v>
      </c>
      <c r="G133" s="494">
        <f t="shared" ref="G133:G143" si="12">E133*F133</f>
        <v>0</v>
      </c>
      <c r="H133" s="330">
        <f t="shared" ref="H133:H143" si="13">E133</f>
        <v>0</v>
      </c>
      <c r="I133" s="331"/>
      <c r="J133" s="5"/>
      <c r="K133" s="46"/>
      <c r="L133" s="46"/>
      <c r="M133" s="46"/>
      <c r="N133" s="46"/>
      <c r="O133" s="46"/>
      <c r="P133" s="5"/>
      <c r="Q133" s="5"/>
    </row>
    <row r="134" spans="1:17" ht="18" customHeight="1" thickBot="1">
      <c r="A134" s="334"/>
      <c r="B134" s="390" t="s">
        <v>459</v>
      </c>
      <c r="C134" s="261" t="s">
        <v>460</v>
      </c>
      <c r="D134" s="260" t="s">
        <v>11</v>
      </c>
      <c r="E134" s="314"/>
      <c r="F134" s="339">
        <v>182</v>
      </c>
      <c r="G134" s="498">
        <f t="shared" si="12"/>
        <v>0</v>
      </c>
      <c r="H134" s="330">
        <f t="shared" si="13"/>
        <v>0</v>
      </c>
      <c r="I134" s="331"/>
      <c r="J134" s="5"/>
      <c r="K134" s="46"/>
      <c r="L134" s="46"/>
      <c r="M134" s="46"/>
      <c r="N134" s="46"/>
      <c r="O134" s="46"/>
      <c r="P134" s="5"/>
      <c r="Q134" s="5"/>
    </row>
    <row r="135" spans="1:17" ht="18" customHeight="1" thickBot="1">
      <c r="A135" s="334"/>
      <c r="B135" s="390" t="s">
        <v>461</v>
      </c>
      <c r="C135" s="261" t="s">
        <v>462</v>
      </c>
      <c r="D135" s="260" t="s">
        <v>11</v>
      </c>
      <c r="E135" s="314"/>
      <c r="F135" s="339">
        <v>202</v>
      </c>
      <c r="G135" s="498">
        <f t="shared" si="12"/>
        <v>0</v>
      </c>
      <c r="H135" s="330">
        <f t="shared" si="13"/>
        <v>0</v>
      </c>
      <c r="I135" s="331"/>
      <c r="J135" s="5"/>
      <c r="K135" s="5"/>
      <c r="L135" s="5"/>
      <c r="M135" s="5"/>
      <c r="N135" s="5"/>
      <c r="O135" s="5"/>
      <c r="P135" s="5"/>
      <c r="Q135" s="5"/>
    </row>
    <row r="136" spans="1:17" ht="18" customHeight="1" thickBot="1">
      <c r="A136" s="334"/>
      <c r="B136" s="390" t="s">
        <v>463</v>
      </c>
      <c r="C136" s="261" t="s">
        <v>464</v>
      </c>
      <c r="D136" s="260" t="s">
        <v>11</v>
      </c>
      <c r="E136" s="314"/>
      <c r="F136" s="339">
        <v>228</v>
      </c>
      <c r="G136" s="498">
        <f t="shared" si="12"/>
        <v>0</v>
      </c>
      <c r="H136" s="330">
        <f t="shared" si="13"/>
        <v>0</v>
      </c>
      <c r="I136" s="331"/>
      <c r="J136" s="5"/>
      <c r="K136" s="5"/>
      <c r="L136" s="5"/>
      <c r="M136" s="5"/>
      <c r="N136" s="5"/>
      <c r="O136" s="5"/>
      <c r="P136" s="5"/>
      <c r="Q136" s="5"/>
    </row>
    <row r="137" spans="1:17" ht="18" customHeight="1" thickBot="1">
      <c r="A137" s="334"/>
      <c r="B137" s="390" t="s">
        <v>465</v>
      </c>
      <c r="C137" s="261" t="s">
        <v>466</v>
      </c>
      <c r="D137" s="260" t="s">
        <v>11</v>
      </c>
      <c r="E137" s="314"/>
      <c r="F137" s="339">
        <v>252</v>
      </c>
      <c r="G137" s="498">
        <f t="shared" si="12"/>
        <v>0</v>
      </c>
      <c r="H137" s="330">
        <f t="shared" si="13"/>
        <v>0</v>
      </c>
      <c r="I137" s="331"/>
      <c r="J137" s="5"/>
      <c r="K137" s="5"/>
      <c r="L137" s="5"/>
      <c r="M137" s="5"/>
      <c r="N137" s="5"/>
      <c r="O137" s="5"/>
      <c r="P137" s="5"/>
      <c r="Q137" s="5"/>
    </row>
    <row r="138" spans="1:17" ht="18" customHeight="1" thickBot="1">
      <c r="A138" s="334"/>
      <c r="B138" s="390" t="s">
        <v>467</v>
      </c>
      <c r="C138" s="261" t="s">
        <v>468</v>
      </c>
      <c r="D138" s="260" t="s">
        <v>11</v>
      </c>
      <c r="E138" s="314"/>
      <c r="F138" s="339">
        <v>274</v>
      </c>
      <c r="G138" s="498">
        <f t="shared" si="12"/>
        <v>0</v>
      </c>
      <c r="H138" s="330">
        <f t="shared" si="13"/>
        <v>0</v>
      </c>
      <c r="I138" s="331"/>
      <c r="J138" s="5"/>
      <c r="K138" s="5"/>
      <c r="L138" s="5"/>
      <c r="M138" s="5" t="s">
        <v>85</v>
      </c>
      <c r="N138" s="5"/>
      <c r="O138" s="5"/>
      <c r="P138" s="5"/>
      <c r="Q138" s="5"/>
    </row>
    <row r="139" spans="1:17" ht="18" customHeight="1" thickBot="1">
      <c r="A139" s="334"/>
      <c r="B139" s="390" t="s">
        <v>469</v>
      </c>
      <c r="C139" s="261" t="s">
        <v>470</v>
      </c>
      <c r="D139" s="260" t="s">
        <v>11</v>
      </c>
      <c r="E139" s="314"/>
      <c r="F139" s="339">
        <v>294</v>
      </c>
      <c r="G139" s="498">
        <f t="shared" si="12"/>
        <v>0</v>
      </c>
      <c r="H139" s="330">
        <f t="shared" si="13"/>
        <v>0</v>
      </c>
      <c r="I139" s="331"/>
      <c r="J139" s="5"/>
      <c r="K139" s="5"/>
      <c r="L139" s="5"/>
      <c r="M139" s="5"/>
      <c r="N139" s="5"/>
      <c r="O139" s="5"/>
      <c r="P139" s="5"/>
      <c r="Q139" s="5"/>
    </row>
    <row r="140" spans="1:17" ht="18" customHeight="1" thickBot="1">
      <c r="A140" s="334"/>
      <c r="B140" s="390" t="s">
        <v>471</v>
      </c>
      <c r="C140" s="261" t="s">
        <v>472</v>
      </c>
      <c r="D140" s="260" t="s">
        <v>11</v>
      </c>
      <c r="E140" s="314"/>
      <c r="F140" s="339">
        <v>318</v>
      </c>
      <c r="G140" s="498">
        <f t="shared" si="12"/>
        <v>0</v>
      </c>
      <c r="H140" s="330">
        <f t="shared" si="13"/>
        <v>0</v>
      </c>
      <c r="I140" s="331"/>
      <c r="J140" s="5"/>
      <c r="K140" s="5"/>
      <c r="L140" s="5"/>
      <c r="M140" s="5"/>
      <c r="N140" s="5"/>
      <c r="O140" s="5"/>
      <c r="P140" s="5"/>
      <c r="Q140" s="5"/>
    </row>
    <row r="141" spans="1:17" ht="18" customHeight="1" thickBot="1">
      <c r="A141" s="334"/>
      <c r="B141" s="390" t="s">
        <v>473</v>
      </c>
      <c r="C141" s="261" t="s">
        <v>474</v>
      </c>
      <c r="D141" s="260" t="s">
        <v>11</v>
      </c>
      <c r="E141" s="314"/>
      <c r="F141" s="339">
        <v>342</v>
      </c>
      <c r="G141" s="498">
        <f t="shared" si="12"/>
        <v>0</v>
      </c>
      <c r="H141" s="330">
        <f t="shared" si="13"/>
        <v>0</v>
      </c>
      <c r="I141" s="331"/>
      <c r="J141" s="5"/>
      <c r="K141" s="5"/>
      <c r="L141" s="5"/>
      <c r="M141" s="5"/>
      <c r="N141" s="5"/>
      <c r="O141" s="5"/>
      <c r="P141" s="5"/>
      <c r="Q141" s="5"/>
    </row>
    <row r="142" spans="1:17" ht="18" customHeight="1" thickBot="1">
      <c r="A142" s="334"/>
      <c r="B142" s="390" t="s">
        <v>475</v>
      </c>
      <c r="C142" s="261" t="s">
        <v>476</v>
      </c>
      <c r="D142" s="260" t="s">
        <v>11</v>
      </c>
      <c r="E142" s="314"/>
      <c r="F142" s="339">
        <v>362</v>
      </c>
      <c r="G142" s="498">
        <f t="shared" si="12"/>
        <v>0</v>
      </c>
      <c r="H142" s="330">
        <f t="shared" si="13"/>
        <v>0</v>
      </c>
      <c r="I142" s="331"/>
      <c r="J142" s="5"/>
      <c r="K142" s="5"/>
      <c r="L142" s="5"/>
      <c r="M142" s="5"/>
      <c r="N142" s="5"/>
      <c r="O142" s="5"/>
      <c r="P142" s="5"/>
      <c r="Q142" s="5"/>
    </row>
    <row r="143" spans="1:17" ht="18" customHeight="1" thickBot="1">
      <c r="A143" s="346"/>
      <c r="B143" s="391" t="s">
        <v>477</v>
      </c>
      <c r="C143" s="392" t="s">
        <v>478</v>
      </c>
      <c r="D143" s="347" t="s">
        <v>11</v>
      </c>
      <c r="E143" s="314"/>
      <c r="F143" s="364">
        <v>382</v>
      </c>
      <c r="G143" s="495">
        <f t="shared" si="12"/>
        <v>0</v>
      </c>
      <c r="H143" s="330">
        <f t="shared" si="13"/>
        <v>0</v>
      </c>
      <c r="I143" s="331"/>
      <c r="J143" s="5"/>
      <c r="K143" s="5"/>
      <c r="L143" s="5"/>
      <c r="M143" s="5"/>
      <c r="N143" s="5"/>
      <c r="O143" s="5"/>
      <c r="P143" s="5"/>
      <c r="Q143" s="5"/>
    </row>
    <row r="144" spans="1:17" ht="16.95" customHeight="1" thickTop="1" thickBot="1">
      <c r="A144" s="585" t="s">
        <v>479</v>
      </c>
      <c r="B144" s="591"/>
      <c r="C144" s="591"/>
      <c r="D144" s="381"/>
      <c r="E144" s="381"/>
      <c r="F144" s="508"/>
      <c r="G144" s="501"/>
      <c r="H144" s="248">
        <f>SUM(H145:H151)</f>
        <v>0</v>
      </c>
      <c r="I144" s="341"/>
      <c r="J144" s="5"/>
      <c r="K144" s="5"/>
      <c r="L144" s="5"/>
      <c r="M144" s="5"/>
      <c r="N144" s="5"/>
      <c r="O144" s="5"/>
      <c r="P144" s="5"/>
      <c r="Q144" s="5"/>
    </row>
    <row r="145" spans="1:17" ht="18" customHeight="1" thickTop="1" thickBot="1">
      <c r="A145" s="326"/>
      <c r="B145" s="327" t="s">
        <v>129</v>
      </c>
      <c r="C145" s="328" t="s">
        <v>420</v>
      </c>
      <c r="D145" s="327" t="s">
        <v>11</v>
      </c>
      <c r="E145" s="327"/>
      <c r="F145" s="338">
        <v>54</v>
      </c>
      <c r="G145" s="494">
        <f t="shared" ref="G145:G151" si="14">E145*F145</f>
        <v>0</v>
      </c>
      <c r="H145" s="330">
        <f t="shared" ref="H145:H151" si="15">E145</f>
        <v>0</v>
      </c>
      <c r="I145" s="331"/>
      <c r="J145" s="5"/>
      <c r="K145" s="5"/>
      <c r="L145" s="5"/>
      <c r="M145" s="5"/>
      <c r="N145" s="5"/>
      <c r="O145" s="5"/>
      <c r="P145" s="5"/>
      <c r="Q145" s="5"/>
    </row>
    <row r="146" spans="1:17" ht="18" customHeight="1" thickBot="1">
      <c r="A146" s="326"/>
      <c r="B146" s="327" t="s">
        <v>418</v>
      </c>
      <c r="C146" s="328" t="s">
        <v>419</v>
      </c>
      <c r="D146" s="327" t="s">
        <v>11</v>
      </c>
      <c r="E146" s="327"/>
      <c r="F146" s="338">
        <v>58</v>
      </c>
      <c r="G146" s="494">
        <f t="shared" si="14"/>
        <v>0</v>
      </c>
      <c r="H146" s="330">
        <f t="shared" si="15"/>
        <v>0</v>
      </c>
      <c r="I146" s="331"/>
      <c r="J146" s="5"/>
      <c r="K146" s="5"/>
      <c r="L146" s="5"/>
      <c r="M146" s="5"/>
      <c r="N146" s="5"/>
      <c r="O146" s="5"/>
      <c r="P146" s="5"/>
      <c r="Q146" s="5"/>
    </row>
    <row r="147" spans="1:17" ht="18" customHeight="1" thickBot="1">
      <c r="A147" s="334"/>
      <c r="B147" s="260" t="s">
        <v>421</v>
      </c>
      <c r="C147" s="332" t="s">
        <v>422</v>
      </c>
      <c r="D147" s="260" t="s">
        <v>11</v>
      </c>
      <c r="E147" s="333"/>
      <c r="F147" s="339">
        <v>76</v>
      </c>
      <c r="G147" s="498">
        <f t="shared" si="14"/>
        <v>0</v>
      </c>
      <c r="H147" s="330">
        <f t="shared" si="15"/>
        <v>0</v>
      </c>
      <c r="I147" s="331"/>
      <c r="J147" s="5"/>
      <c r="K147" s="5"/>
      <c r="L147" s="5"/>
      <c r="M147" s="5"/>
      <c r="N147" s="5"/>
      <c r="O147" s="5"/>
      <c r="P147" s="5"/>
      <c r="Q147" s="5"/>
    </row>
    <row r="148" spans="1:17" ht="18" customHeight="1" thickBot="1">
      <c r="A148" s="334"/>
      <c r="B148" s="260" t="s">
        <v>412</v>
      </c>
      <c r="C148" s="332" t="s">
        <v>423</v>
      </c>
      <c r="D148" s="260" t="s">
        <v>11</v>
      </c>
      <c r="E148" s="333"/>
      <c r="F148" s="339">
        <v>82</v>
      </c>
      <c r="G148" s="498">
        <f t="shared" si="14"/>
        <v>0</v>
      </c>
      <c r="H148" s="330">
        <f t="shared" si="15"/>
        <v>0</v>
      </c>
      <c r="I148" s="331"/>
      <c r="J148" s="5"/>
      <c r="K148" s="5"/>
      <c r="L148" s="5"/>
      <c r="M148" s="5"/>
      <c r="N148" s="5"/>
      <c r="O148" s="5"/>
      <c r="P148" s="5"/>
      <c r="Q148" s="5"/>
    </row>
    <row r="149" spans="1:17" ht="16.95" customHeight="1" thickBot="1">
      <c r="A149" s="334"/>
      <c r="B149" s="260" t="s">
        <v>130</v>
      </c>
      <c r="C149" s="332" t="s">
        <v>424</v>
      </c>
      <c r="D149" s="260" t="s">
        <v>11</v>
      </c>
      <c r="E149" s="333"/>
      <c r="F149" s="339">
        <v>96</v>
      </c>
      <c r="G149" s="498">
        <f t="shared" si="14"/>
        <v>0</v>
      </c>
      <c r="H149" s="330">
        <f t="shared" si="15"/>
        <v>0</v>
      </c>
      <c r="I149" s="331"/>
      <c r="J149" s="5"/>
      <c r="K149" s="5"/>
      <c r="L149" s="5"/>
      <c r="M149" s="5"/>
      <c r="N149" s="5"/>
      <c r="O149" s="5"/>
      <c r="P149" s="5"/>
      <c r="Q149" s="5"/>
    </row>
    <row r="150" spans="1:17" ht="16.95" customHeight="1" thickBot="1">
      <c r="A150" s="334"/>
      <c r="B150" s="260" t="s">
        <v>131</v>
      </c>
      <c r="C150" s="332" t="s">
        <v>425</v>
      </c>
      <c r="D150" s="260" t="s">
        <v>11</v>
      </c>
      <c r="E150" s="333"/>
      <c r="F150" s="339">
        <v>102</v>
      </c>
      <c r="G150" s="498">
        <f t="shared" si="14"/>
        <v>0</v>
      </c>
      <c r="H150" s="330">
        <f t="shared" si="15"/>
        <v>0</v>
      </c>
      <c r="I150" s="331"/>
      <c r="J150" s="5"/>
      <c r="K150" s="5"/>
      <c r="L150" s="5"/>
      <c r="M150" s="5"/>
      <c r="N150" s="5"/>
      <c r="O150" s="5"/>
      <c r="P150" s="5"/>
      <c r="Q150" s="5"/>
    </row>
    <row r="151" spans="1:17" ht="18" customHeight="1" thickBot="1">
      <c r="A151" s="346"/>
      <c r="B151" s="347" t="s">
        <v>325</v>
      </c>
      <c r="C151" s="348" t="s">
        <v>426</v>
      </c>
      <c r="D151" s="347" t="s">
        <v>11</v>
      </c>
      <c r="E151" s="349"/>
      <c r="F151" s="364">
        <v>120</v>
      </c>
      <c r="G151" s="495">
        <f t="shared" si="14"/>
        <v>0</v>
      </c>
      <c r="H151" s="330">
        <f t="shared" si="15"/>
        <v>0</v>
      </c>
      <c r="I151" s="331"/>
      <c r="J151" s="5"/>
      <c r="K151" s="5"/>
      <c r="L151" s="5"/>
      <c r="M151" s="5"/>
      <c r="N151" s="5"/>
      <c r="O151" s="5"/>
      <c r="P151" s="5"/>
      <c r="Q151" s="5"/>
    </row>
    <row r="152" spans="1:17" ht="16.95" customHeight="1" thickTop="1" thickBot="1">
      <c r="A152" s="585" t="s">
        <v>592</v>
      </c>
      <c r="B152" s="591"/>
      <c r="C152" s="591"/>
      <c r="D152" s="591"/>
      <c r="E152" s="381"/>
      <c r="F152" s="508"/>
      <c r="G152" s="501"/>
      <c r="H152" s="248">
        <f>SUM(H153)</f>
        <v>0</v>
      </c>
      <c r="I152" s="341"/>
      <c r="J152" s="5"/>
      <c r="K152" s="5"/>
      <c r="L152" s="5"/>
      <c r="M152" s="5"/>
      <c r="N152" s="5"/>
      <c r="O152" s="5"/>
      <c r="P152" s="5"/>
      <c r="Q152" s="5"/>
    </row>
    <row r="153" spans="1:17" ht="16.95" customHeight="1" thickTop="1" thickBot="1">
      <c r="A153" s="394"/>
      <c r="B153" s="395" t="s">
        <v>481</v>
      </c>
      <c r="C153" s="396" t="s">
        <v>530</v>
      </c>
      <c r="D153" s="395" t="s">
        <v>11</v>
      </c>
      <c r="E153" s="397"/>
      <c r="F153" s="509">
        <v>17</v>
      </c>
      <c r="G153" s="502">
        <f t="shared" ref="G153:G177" si="16">E153*F153</f>
        <v>0</v>
      </c>
      <c r="H153" s="330">
        <f t="shared" ref="H153:H177" si="17">E153</f>
        <v>0</v>
      </c>
      <c r="I153" s="353"/>
      <c r="J153" s="5"/>
      <c r="K153" s="5"/>
      <c r="L153" s="5"/>
      <c r="M153" s="5"/>
      <c r="N153" s="5"/>
      <c r="O153" s="5"/>
      <c r="P153" s="5"/>
      <c r="Q153" s="5"/>
    </row>
    <row r="154" spans="1:17" ht="16.95" customHeight="1" thickTop="1" thickBot="1">
      <c r="A154" s="589" t="s">
        <v>593</v>
      </c>
      <c r="B154" s="601"/>
      <c r="C154" s="601"/>
      <c r="D154" s="601"/>
      <c r="E154" s="439"/>
      <c r="F154" s="510"/>
      <c r="G154" s="503"/>
      <c r="H154" s="248">
        <f>SUM(H155)</f>
        <v>0</v>
      </c>
      <c r="I154" s="341"/>
      <c r="J154" s="5"/>
      <c r="K154" s="5"/>
      <c r="L154" s="5"/>
      <c r="M154" s="5"/>
      <c r="N154" s="5"/>
      <c r="O154" s="5"/>
      <c r="P154" s="5"/>
      <c r="Q154" s="5"/>
    </row>
    <row r="155" spans="1:17" ht="28.05" customHeight="1" thickTop="1" thickBot="1">
      <c r="A155" s="377"/>
      <c r="B155" s="327" t="s">
        <v>521</v>
      </c>
      <c r="C155" s="441" t="s">
        <v>531</v>
      </c>
      <c r="D155" s="327" t="s">
        <v>11</v>
      </c>
      <c r="E155" s="397"/>
      <c r="F155" s="338">
        <v>60</v>
      </c>
      <c r="G155" s="494">
        <f t="shared" si="16"/>
        <v>0</v>
      </c>
      <c r="H155" s="330">
        <f t="shared" si="17"/>
        <v>0</v>
      </c>
      <c r="I155" s="331"/>
      <c r="J155" s="5"/>
      <c r="K155" s="5"/>
      <c r="L155" s="5"/>
      <c r="M155" s="5"/>
      <c r="N155" s="5"/>
      <c r="O155" s="5"/>
      <c r="P155" s="5"/>
      <c r="Q155" s="5"/>
    </row>
    <row r="156" spans="1:17" ht="16.95" customHeight="1" thickTop="1" thickBot="1">
      <c r="A156" s="589" t="s">
        <v>594</v>
      </c>
      <c r="B156" s="601"/>
      <c r="C156" s="601"/>
      <c r="D156" s="601"/>
      <c r="E156" s="439"/>
      <c r="F156" s="510"/>
      <c r="G156" s="503"/>
      <c r="H156" s="248">
        <f>SUM(H157)</f>
        <v>0</v>
      </c>
      <c r="I156" s="341"/>
      <c r="J156" s="5"/>
      <c r="K156" s="5"/>
      <c r="L156" s="5"/>
      <c r="M156" s="5"/>
      <c r="N156" s="5"/>
      <c r="O156" s="5"/>
      <c r="P156" s="5"/>
      <c r="Q156" s="5"/>
    </row>
    <row r="157" spans="1:17" ht="28.05" customHeight="1" thickTop="1" thickBot="1">
      <c r="A157" s="334"/>
      <c r="B157" s="260" t="s">
        <v>521</v>
      </c>
      <c r="C157" s="408" t="s">
        <v>524</v>
      </c>
      <c r="D157" s="260" t="s">
        <v>439</v>
      </c>
      <c r="E157" s="442"/>
      <c r="F157" s="339">
        <v>104</v>
      </c>
      <c r="G157" s="498">
        <f t="shared" si="16"/>
        <v>0</v>
      </c>
      <c r="H157" s="330">
        <f t="shared" si="17"/>
        <v>0</v>
      </c>
      <c r="I157" s="331"/>
      <c r="J157" s="5"/>
      <c r="K157" s="5"/>
      <c r="L157" s="5"/>
      <c r="M157" s="5"/>
      <c r="N157" s="5"/>
      <c r="O157" s="5"/>
      <c r="P157" s="5"/>
      <c r="Q157" s="5"/>
    </row>
    <row r="158" spans="1:17" ht="28.05" customHeight="1" thickBot="1">
      <c r="A158" s="443"/>
      <c r="B158" s="260" t="s">
        <v>525</v>
      </c>
      <c r="C158" s="408" t="s">
        <v>526</v>
      </c>
      <c r="D158" s="260" t="s">
        <v>11</v>
      </c>
      <c r="E158" s="402"/>
      <c r="F158" s="339">
        <v>4.08</v>
      </c>
      <c r="G158" s="498">
        <f>E158*F158</f>
        <v>0</v>
      </c>
      <c r="H158" s="330">
        <f>E158</f>
        <v>0</v>
      </c>
      <c r="I158" s="331"/>
      <c r="J158" s="5"/>
      <c r="K158" s="5"/>
      <c r="L158" s="5"/>
      <c r="M158" s="5"/>
      <c r="N158" s="5"/>
      <c r="O158" s="5"/>
      <c r="P158" s="5"/>
      <c r="Q158" s="5"/>
    </row>
    <row r="159" spans="1:17" ht="16.95" customHeight="1" thickBot="1">
      <c r="A159" s="400"/>
      <c r="B159" s="401" t="s">
        <v>485</v>
      </c>
      <c r="C159" s="332" t="s">
        <v>486</v>
      </c>
      <c r="D159" s="260" t="s">
        <v>484</v>
      </c>
      <c r="E159" s="402"/>
      <c r="F159" s="339">
        <v>12</v>
      </c>
      <c r="G159" s="498">
        <f t="shared" si="16"/>
        <v>0</v>
      </c>
      <c r="H159" s="330">
        <f t="shared" si="17"/>
        <v>0</v>
      </c>
      <c r="I159" s="331"/>
      <c r="J159" s="5"/>
      <c r="K159" s="5"/>
      <c r="L159" s="5"/>
      <c r="M159" s="5"/>
      <c r="N159" s="5"/>
      <c r="O159" s="5"/>
      <c r="P159" s="5"/>
      <c r="Q159" s="5"/>
    </row>
    <row r="160" spans="1:17" ht="16.95" customHeight="1" thickBot="1">
      <c r="A160" s="404"/>
      <c r="B160" s="380" t="s">
        <v>487</v>
      </c>
      <c r="C160" s="348" t="s">
        <v>488</v>
      </c>
      <c r="D160" s="347" t="s">
        <v>484</v>
      </c>
      <c r="E160" s="405"/>
      <c r="F160" s="364">
        <v>15</v>
      </c>
      <c r="G160" s="495">
        <f t="shared" si="16"/>
        <v>0</v>
      </c>
      <c r="H160" s="330">
        <f t="shared" si="17"/>
        <v>0</v>
      </c>
      <c r="I160" s="331"/>
      <c r="J160" s="5"/>
      <c r="K160" s="5"/>
      <c r="L160" s="5"/>
      <c r="M160" s="5"/>
      <c r="N160" s="5"/>
      <c r="O160" s="5"/>
      <c r="P160" s="5"/>
      <c r="Q160" s="5"/>
    </row>
    <row r="161" spans="1:17" ht="16.95" customHeight="1" thickTop="1" thickBot="1">
      <c r="A161" s="585" t="s">
        <v>489</v>
      </c>
      <c r="B161" s="586"/>
      <c r="C161" s="586"/>
      <c r="D161" s="381"/>
      <c r="E161" s="381"/>
      <c r="F161" s="508"/>
      <c r="G161" s="501"/>
      <c r="H161" s="248">
        <f>SUM(H162:H177)</f>
        <v>0</v>
      </c>
      <c r="I161" s="341"/>
      <c r="J161" s="5"/>
      <c r="K161" s="5"/>
      <c r="L161" s="5"/>
      <c r="M161" s="5"/>
      <c r="N161" s="5"/>
      <c r="O161" s="5"/>
      <c r="P161" s="5"/>
      <c r="Q161" s="5"/>
    </row>
    <row r="162" spans="1:17" ht="18" customHeight="1" thickTop="1" thickBot="1">
      <c r="A162" s="326"/>
      <c r="B162" s="327" t="s">
        <v>15</v>
      </c>
      <c r="C162" s="328" t="s">
        <v>490</v>
      </c>
      <c r="D162" s="327" t="s">
        <v>14</v>
      </c>
      <c r="E162" s="327"/>
      <c r="F162" s="338">
        <v>50</v>
      </c>
      <c r="G162" s="494">
        <f t="shared" si="16"/>
        <v>0</v>
      </c>
      <c r="H162" s="330">
        <f t="shared" si="17"/>
        <v>0</v>
      </c>
      <c r="I162" s="331"/>
      <c r="J162" s="5"/>
      <c r="K162" s="5"/>
      <c r="L162" s="5"/>
      <c r="M162" s="5"/>
      <c r="N162" s="5"/>
      <c r="O162" s="5"/>
      <c r="P162" s="5"/>
      <c r="Q162" s="5"/>
    </row>
    <row r="163" spans="1:17" ht="18" customHeight="1" thickBot="1">
      <c r="A163" s="334"/>
      <c r="B163" s="260" t="s">
        <v>101</v>
      </c>
      <c r="C163" s="332" t="s">
        <v>491</v>
      </c>
      <c r="D163" s="260" t="s">
        <v>14</v>
      </c>
      <c r="E163" s="260"/>
      <c r="F163" s="339">
        <v>119</v>
      </c>
      <c r="G163" s="498">
        <f t="shared" si="16"/>
        <v>0</v>
      </c>
      <c r="H163" s="330">
        <f t="shared" si="17"/>
        <v>0</v>
      </c>
      <c r="I163" s="331"/>
      <c r="J163" s="5"/>
      <c r="K163" s="5"/>
      <c r="L163" s="5"/>
      <c r="M163" s="5"/>
      <c r="N163" s="5"/>
      <c r="O163" s="5"/>
      <c r="P163" s="5"/>
      <c r="Q163" s="5"/>
    </row>
    <row r="164" spans="1:17" ht="16.95" customHeight="1" thickBot="1">
      <c r="A164" s="406"/>
      <c r="B164" s="407" t="s">
        <v>492</v>
      </c>
      <c r="C164" s="408" t="s">
        <v>493</v>
      </c>
      <c r="D164" s="407" t="s">
        <v>11</v>
      </c>
      <c r="E164" s="407"/>
      <c r="F164" s="339">
        <v>0.55000000000000004</v>
      </c>
      <c r="G164" s="498">
        <f t="shared" si="16"/>
        <v>0</v>
      </c>
      <c r="H164" s="330">
        <f t="shared" si="17"/>
        <v>0</v>
      </c>
      <c r="I164" s="331"/>
      <c r="J164" s="5"/>
      <c r="K164" s="5"/>
      <c r="L164" s="5"/>
      <c r="M164" s="5"/>
      <c r="N164" s="5"/>
      <c r="O164" s="5"/>
      <c r="P164" s="5"/>
      <c r="Q164" s="5"/>
    </row>
    <row r="165" spans="1:17" ht="16.95" customHeight="1" thickBot="1">
      <c r="A165" s="406"/>
      <c r="B165" s="407" t="s">
        <v>494</v>
      </c>
      <c r="C165" s="408" t="s">
        <v>495</v>
      </c>
      <c r="D165" s="407" t="s">
        <v>11</v>
      </c>
      <c r="E165" s="407"/>
      <c r="F165" s="339">
        <v>0.55000000000000004</v>
      </c>
      <c r="G165" s="498">
        <f t="shared" si="16"/>
        <v>0</v>
      </c>
      <c r="H165" s="330">
        <f t="shared" si="17"/>
        <v>0</v>
      </c>
      <c r="I165" s="331"/>
      <c r="J165" s="5"/>
      <c r="K165" s="5"/>
      <c r="L165" s="5"/>
      <c r="M165" s="5"/>
      <c r="N165" s="5"/>
      <c r="O165" s="5"/>
      <c r="P165" s="5"/>
      <c r="Q165" s="5"/>
    </row>
    <row r="166" spans="1:17" ht="16.95" customHeight="1" thickBot="1">
      <c r="A166" s="406"/>
      <c r="B166" s="407" t="s">
        <v>496</v>
      </c>
      <c r="C166" s="408" t="s">
        <v>497</v>
      </c>
      <c r="D166" s="407" t="s">
        <v>11</v>
      </c>
      <c r="E166" s="409"/>
      <c r="F166" s="339">
        <v>0.8</v>
      </c>
      <c r="G166" s="498">
        <f t="shared" si="16"/>
        <v>0</v>
      </c>
      <c r="H166" s="330">
        <f t="shared" si="17"/>
        <v>0</v>
      </c>
      <c r="I166" s="331"/>
      <c r="J166" s="5"/>
      <c r="K166" s="5"/>
      <c r="L166" s="5"/>
      <c r="M166" s="5"/>
      <c r="N166" s="5"/>
      <c r="O166" s="5"/>
      <c r="P166" s="5"/>
      <c r="Q166" s="5"/>
    </row>
    <row r="167" spans="1:17" ht="18" customHeight="1" thickBot="1">
      <c r="A167" s="406"/>
      <c r="B167" s="407" t="s">
        <v>498</v>
      </c>
      <c r="C167" s="408" t="s">
        <v>499</v>
      </c>
      <c r="D167" s="407" t="s">
        <v>11</v>
      </c>
      <c r="E167" s="407"/>
      <c r="F167" s="339">
        <v>9.24</v>
      </c>
      <c r="G167" s="498">
        <f t="shared" si="16"/>
        <v>0</v>
      </c>
      <c r="H167" s="330">
        <f t="shared" si="17"/>
        <v>0</v>
      </c>
      <c r="I167" s="331"/>
      <c r="J167" s="5"/>
      <c r="K167" s="5"/>
      <c r="L167" s="5"/>
      <c r="M167" s="5"/>
      <c r="N167" s="5"/>
      <c r="O167" s="5"/>
      <c r="P167" s="5"/>
      <c r="Q167" s="5"/>
    </row>
    <row r="168" spans="1:17" ht="18" customHeight="1" thickBot="1">
      <c r="A168" s="406"/>
      <c r="B168" s="407" t="s">
        <v>500</v>
      </c>
      <c r="C168" s="408" t="s">
        <v>501</v>
      </c>
      <c r="D168" s="407" t="s">
        <v>11</v>
      </c>
      <c r="E168" s="409"/>
      <c r="F168" s="339">
        <v>4</v>
      </c>
      <c r="G168" s="498">
        <f t="shared" si="16"/>
        <v>0</v>
      </c>
      <c r="H168" s="330">
        <f t="shared" si="17"/>
        <v>0</v>
      </c>
      <c r="I168" s="331"/>
      <c r="J168" s="5"/>
      <c r="K168" s="5"/>
      <c r="L168" s="5"/>
      <c r="M168" s="5"/>
      <c r="N168" s="5"/>
      <c r="O168" s="5"/>
      <c r="P168" s="5"/>
      <c r="Q168" s="5"/>
    </row>
    <row r="169" spans="1:17" ht="18" customHeight="1" thickBot="1">
      <c r="A169" s="406"/>
      <c r="B169" s="407">
        <v>720200</v>
      </c>
      <c r="C169" s="408" t="s">
        <v>502</v>
      </c>
      <c r="D169" s="407" t="s">
        <v>11</v>
      </c>
      <c r="E169" s="407"/>
      <c r="F169" s="339">
        <v>5</v>
      </c>
      <c r="G169" s="498">
        <f t="shared" si="16"/>
        <v>0</v>
      </c>
      <c r="H169" s="330">
        <f t="shared" si="17"/>
        <v>0</v>
      </c>
      <c r="I169" s="331"/>
      <c r="J169" s="5"/>
      <c r="K169" s="5"/>
      <c r="L169" s="5"/>
      <c r="M169" s="5"/>
      <c r="N169" s="5"/>
      <c r="O169" s="5"/>
      <c r="P169" s="5"/>
      <c r="Q169" s="5"/>
    </row>
    <row r="170" spans="1:17" ht="18" customHeight="1" thickBot="1">
      <c r="A170" s="410"/>
      <c r="B170" s="411">
        <v>630112</v>
      </c>
      <c r="C170" s="412" t="s">
        <v>503</v>
      </c>
      <c r="D170" s="411" t="s">
        <v>13</v>
      </c>
      <c r="E170" s="411"/>
      <c r="F170" s="339">
        <v>81</v>
      </c>
      <c r="G170" s="498">
        <f t="shared" si="16"/>
        <v>0</v>
      </c>
      <c r="H170" s="330">
        <f t="shared" si="17"/>
        <v>0</v>
      </c>
      <c r="I170" s="331"/>
      <c r="J170" s="5"/>
      <c r="K170" s="5"/>
      <c r="L170" s="5"/>
      <c r="M170" s="5"/>
      <c r="N170" s="5"/>
      <c r="O170" s="5"/>
      <c r="P170" s="5"/>
      <c r="Q170" s="5"/>
    </row>
    <row r="171" spans="1:17" ht="24.45" customHeight="1" thickBot="1">
      <c r="A171" s="410"/>
      <c r="B171" s="411">
        <v>630113</v>
      </c>
      <c r="C171" s="413" t="s">
        <v>504</v>
      </c>
      <c r="D171" s="411" t="s">
        <v>13</v>
      </c>
      <c r="E171" s="411"/>
      <c r="F171" s="339">
        <v>123</v>
      </c>
      <c r="G171" s="498">
        <f t="shared" si="16"/>
        <v>0</v>
      </c>
      <c r="H171" s="330">
        <f t="shared" si="17"/>
        <v>0</v>
      </c>
      <c r="I171" s="331"/>
      <c r="J171" s="5"/>
      <c r="K171" s="5"/>
      <c r="L171" s="5"/>
      <c r="M171" s="5"/>
      <c r="N171" s="5"/>
      <c r="O171" s="5"/>
      <c r="P171" s="5"/>
      <c r="Q171" s="5"/>
    </row>
    <row r="172" spans="1:17" ht="16.95" customHeight="1" thickBot="1">
      <c r="A172" s="334"/>
      <c r="B172" s="260" t="s">
        <v>505</v>
      </c>
      <c r="C172" s="332" t="s">
        <v>532</v>
      </c>
      <c r="D172" s="260" t="s">
        <v>439</v>
      </c>
      <c r="E172" s="260"/>
      <c r="F172" s="339">
        <v>6</v>
      </c>
      <c r="G172" s="498">
        <f t="shared" si="16"/>
        <v>0</v>
      </c>
      <c r="H172" s="330">
        <f t="shared" si="17"/>
        <v>0</v>
      </c>
      <c r="I172" s="331"/>
      <c r="J172" s="5"/>
      <c r="K172" s="5"/>
      <c r="L172" s="5"/>
      <c r="M172" s="5"/>
      <c r="N172" s="5"/>
      <c r="O172" s="5"/>
      <c r="P172" s="5"/>
      <c r="Q172" s="5"/>
    </row>
    <row r="173" spans="1:17" ht="16.95" customHeight="1" thickBot="1">
      <c r="A173" s="406"/>
      <c r="B173" s="407" t="s">
        <v>507</v>
      </c>
      <c r="C173" s="332" t="s">
        <v>508</v>
      </c>
      <c r="D173" s="407" t="s">
        <v>11</v>
      </c>
      <c r="E173" s="409"/>
      <c r="F173" s="339">
        <v>8</v>
      </c>
      <c r="G173" s="498">
        <f t="shared" si="16"/>
        <v>0</v>
      </c>
      <c r="H173" s="330">
        <f t="shared" si="17"/>
        <v>0</v>
      </c>
      <c r="I173" s="414"/>
      <c r="J173" s="5"/>
      <c r="K173" s="5"/>
      <c r="L173" s="5"/>
      <c r="M173" s="5"/>
      <c r="N173" s="5"/>
      <c r="O173" s="5"/>
      <c r="P173" s="5"/>
      <c r="Q173" s="5"/>
    </row>
    <row r="174" spans="1:17" ht="18" customHeight="1" thickBot="1">
      <c r="A174" s="406"/>
      <c r="B174" s="407" t="s">
        <v>509</v>
      </c>
      <c r="C174" s="332" t="s">
        <v>510</v>
      </c>
      <c r="D174" s="407" t="s">
        <v>11</v>
      </c>
      <c r="E174" s="407"/>
      <c r="F174" s="339">
        <v>304</v>
      </c>
      <c r="G174" s="498">
        <f t="shared" si="16"/>
        <v>0</v>
      </c>
      <c r="H174" s="330">
        <f t="shared" si="17"/>
        <v>0</v>
      </c>
      <c r="I174" s="414"/>
      <c r="J174" s="5"/>
      <c r="K174" s="5"/>
      <c r="L174" s="5"/>
      <c r="M174" s="5"/>
      <c r="N174" s="5"/>
      <c r="O174" s="5"/>
      <c r="P174" s="5"/>
      <c r="Q174" s="5"/>
    </row>
    <row r="175" spans="1:17" ht="16.95" customHeight="1" thickBot="1">
      <c r="A175" s="406"/>
      <c r="B175" s="407" t="s">
        <v>511</v>
      </c>
      <c r="C175" s="332" t="s">
        <v>512</v>
      </c>
      <c r="D175" s="407" t="s">
        <v>11</v>
      </c>
      <c r="E175" s="407"/>
      <c r="F175" s="339">
        <v>21</v>
      </c>
      <c r="G175" s="498">
        <f t="shared" si="16"/>
        <v>0</v>
      </c>
      <c r="H175" s="330">
        <f t="shared" si="17"/>
        <v>0</v>
      </c>
      <c r="I175" s="414"/>
      <c r="J175" s="5"/>
      <c r="K175" s="5"/>
      <c r="L175" s="5"/>
      <c r="M175" s="5"/>
      <c r="N175" s="5"/>
      <c r="O175" s="5"/>
      <c r="P175" s="5"/>
      <c r="Q175" s="5"/>
    </row>
    <row r="176" spans="1:17" ht="18" customHeight="1" thickBot="1">
      <c r="A176" s="406"/>
      <c r="B176" s="407" t="s">
        <v>513</v>
      </c>
      <c r="C176" s="332" t="s">
        <v>514</v>
      </c>
      <c r="D176" s="407" t="s">
        <v>11</v>
      </c>
      <c r="E176" s="407"/>
      <c r="F176" s="339">
        <v>145</v>
      </c>
      <c r="G176" s="498">
        <f t="shared" si="16"/>
        <v>0</v>
      </c>
      <c r="H176" s="330">
        <f t="shared" si="17"/>
        <v>0</v>
      </c>
      <c r="I176" s="415"/>
      <c r="J176" s="5"/>
      <c r="K176" s="5"/>
      <c r="L176" s="5"/>
      <c r="M176" s="5"/>
      <c r="N176" s="5"/>
      <c r="O176" s="5"/>
      <c r="P176" s="5"/>
      <c r="Q176" s="5"/>
    </row>
    <row r="177" spans="1:24" ht="16.95" customHeight="1" thickBot="1">
      <c r="A177" s="416"/>
      <c r="B177" s="417" t="s">
        <v>515</v>
      </c>
      <c r="C177" s="418" t="s">
        <v>516</v>
      </c>
      <c r="D177" s="419" t="s">
        <v>11</v>
      </c>
      <c r="E177" s="419"/>
      <c r="F177" s="506">
        <v>28</v>
      </c>
      <c r="G177" s="499">
        <f t="shared" si="16"/>
        <v>0</v>
      </c>
      <c r="H177" s="330">
        <f t="shared" si="17"/>
        <v>0</v>
      </c>
      <c r="I177" s="415"/>
      <c r="J177" s="5"/>
      <c r="K177" s="5"/>
      <c r="L177" s="5"/>
      <c r="M177" s="5"/>
      <c r="N177" s="5"/>
      <c r="O177" s="5"/>
      <c r="P177" s="5"/>
      <c r="Q177" s="5"/>
    </row>
    <row r="178" spans="1:24" ht="18" customHeight="1" thickTop="1" thickBot="1">
      <c r="A178" s="522" t="s">
        <v>25</v>
      </c>
      <c r="B178" s="540"/>
      <c r="C178" s="540"/>
      <c r="D178" s="540"/>
      <c r="E178" s="42"/>
      <c r="F178" s="43"/>
      <c r="G178" s="306">
        <f>SUM(G22:G112)</f>
        <v>0</v>
      </c>
      <c r="H178" s="249">
        <f>G178</f>
        <v>0</v>
      </c>
      <c r="I178" s="5"/>
      <c r="J178" s="5"/>
      <c r="K178" s="5"/>
      <c r="L178" s="5"/>
      <c r="M178" s="5"/>
      <c r="N178" s="5"/>
      <c r="O178" s="5"/>
      <c r="P178" s="5"/>
      <c r="Q178" s="5"/>
    </row>
    <row r="179" spans="1:24" ht="18" customHeight="1" thickTop="1" thickBot="1">
      <c r="A179" s="537" t="s">
        <v>156</v>
      </c>
      <c r="B179" s="573"/>
      <c r="C179" s="573"/>
      <c r="D179" s="573"/>
      <c r="E179" s="304">
        <v>0</v>
      </c>
      <c r="F179" s="10"/>
      <c r="G179" s="305">
        <f>G178*(1-E179)</f>
        <v>0</v>
      </c>
      <c r="H179" s="249">
        <f>G179</f>
        <v>0</v>
      </c>
      <c r="I179" s="5"/>
      <c r="J179" s="5"/>
      <c r="K179" s="5"/>
      <c r="L179" s="5"/>
      <c r="M179" s="5"/>
      <c r="N179" s="5"/>
      <c r="O179" s="5"/>
      <c r="P179" s="5"/>
      <c r="Q179" s="5"/>
    </row>
    <row r="180" spans="1:24" ht="18" customHeight="1" thickTop="1" thickBot="1">
      <c r="A180" s="522" t="s">
        <v>143</v>
      </c>
      <c r="B180" s="540"/>
      <c r="C180" s="540"/>
      <c r="D180" s="540"/>
      <c r="E180" s="42"/>
      <c r="F180" s="43"/>
      <c r="G180" s="48">
        <f>G179*1.21</f>
        <v>0</v>
      </c>
      <c r="H180" s="249">
        <f>G180</f>
        <v>0</v>
      </c>
      <c r="I180" s="5"/>
      <c r="J180" s="5"/>
      <c r="K180" s="5"/>
      <c r="L180" s="5"/>
      <c r="M180" s="5"/>
      <c r="N180" s="5"/>
      <c r="O180" s="5"/>
      <c r="P180" s="5"/>
      <c r="Q180" s="5"/>
    </row>
    <row r="181" spans="1:24" ht="16.5" customHeight="1" thickTop="1">
      <c r="A181" s="53"/>
      <c r="B181" s="46"/>
      <c r="C181" s="46"/>
      <c r="D181" s="46"/>
      <c r="E181" s="53"/>
      <c r="F181" s="53"/>
      <c r="G181" s="230"/>
      <c r="H181" s="249"/>
      <c r="I181" s="5"/>
      <c r="J181" s="5"/>
      <c r="K181" s="5"/>
      <c r="L181" s="5"/>
      <c r="M181" s="5"/>
      <c r="N181" s="5"/>
      <c r="O181" s="5"/>
      <c r="P181" s="5"/>
      <c r="Q181" s="5"/>
    </row>
    <row r="182" spans="1:24" ht="16.5" customHeight="1">
      <c r="A182" s="53"/>
      <c r="B182" s="46"/>
      <c r="C182" s="46"/>
      <c r="D182" s="46"/>
      <c r="E182" s="53"/>
      <c r="F182" s="53"/>
      <c r="G182" s="230"/>
      <c r="H182" s="249"/>
      <c r="I182" s="5"/>
      <c r="J182" s="5"/>
      <c r="K182" s="5"/>
      <c r="L182" s="5"/>
      <c r="M182" s="5"/>
      <c r="N182" s="5"/>
      <c r="O182" s="5"/>
      <c r="P182" s="5"/>
      <c r="Q182" s="5"/>
    </row>
    <row r="183" spans="1:24" ht="18.75" customHeight="1">
      <c r="A183" s="14"/>
      <c r="B183" s="15"/>
      <c r="C183" s="15"/>
      <c r="D183" s="15"/>
      <c r="E183" s="15"/>
      <c r="F183" s="15"/>
      <c r="G183" s="15"/>
      <c r="H183" s="250" t="s">
        <v>83</v>
      </c>
      <c r="I183" s="5"/>
      <c r="J183" s="5"/>
      <c r="K183" s="5"/>
      <c r="L183" s="5"/>
      <c r="M183" s="5"/>
      <c r="N183" s="5"/>
      <c r="O183" s="5"/>
      <c r="P183" s="5"/>
      <c r="Q183" s="5"/>
    </row>
    <row r="184" spans="1:24" ht="18.75" customHeight="1">
      <c r="A184" s="14" t="s">
        <v>184</v>
      </c>
      <c r="B184" s="15"/>
      <c r="C184" s="15"/>
      <c r="D184" s="15"/>
      <c r="E184" s="15"/>
      <c r="F184" s="15"/>
      <c r="G184" s="15"/>
      <c r="H184" s="250" t="s">
        <v>83</v>
      </c>
      <c r="I184" s="5"/>
      <c r="J184" s="5"/>
      <c r="K184" s="5"/>
      <c r="L184" s="5"/>
      <c r="M184" s="5"/>
      <c r="N184" s="5"/>
      <c r="O184" s="5"/>
      <c r="P184" s="5"/>
      <c r="Q184" s="5"/>
    </row>
    <row r="185" spans="1:24" ht="15.75" customHeight="1">
      <c r="A185" s="541" t="s">
        <v>287</v>
      </c>
      <c r="B185" s="541"/>
      <c r="C185" s="541"/>
      <c r="D185" s="541"/>
      <c r="E185" s="541"/>
      <c r="F185" s="541"/>
      <c r="G185" s="541"/>
      <c r="H185" s="250">
        <f>SUM(H186:H186)</f>
        <v>0</v>
      </c>
      <c r="I185" s="5"/>
      <c r="J185" s="5"/>
      <c r="K185" s="5"/>
      <c r="L185" s="5"/>
      <c r="M185" s="5"/>
      <c r="N185" s="5"/>
      <c r="O185" s="5"/>
      <c r="P185" s="5"/>
      <c r="Q185" s="5"/>
    </row>
    <row r="186" spans="1:24" ht="18.75" customHeight="1">
      <c r="A186" s="72"/>
      <c r="B186" s="72"/>
      <c r="C186" s="72"/>
      <c r="D186" s="72"/>
      <c r="E186" s="72"/>
      <c r="F186" s="72"/>
      <c r="G186" s="72"/>
      <c r="H186" s="250"/>
      <c r="I186" s="5"/>
      <c r="J186" s="5"/>
      <c r="K186" s="5"/>
      <c r="L186" s="5"/>
      <c r="M186" s="5"/>
      <c r="N186" s="5"/>
      <c r="O186" s="5"/>
      <c r="P186" s="5"/>
      <c r="Q186" s="5"/>
    </row>
    <row r="187" spans="1:24" ht="18" customHeight="1">
      <c r="A187" s="533" t="s">
        <v>380</v>
      </c>
      <c r="B187" s="533"/>
      <c r="C187" s="533"/>
      <c r="D187" s="533"/>
      <c r="E187" s="533"/>
      <c r="F187" s="533"/>
      <c r="G187" s="533"/>
      <c r="H187" s="250">
        <f>G204</f>
        <v>0</v>
      </c>
      <c r="I187" s="5"/>
      <c r="J187" s="5"/>
      <c r="K187" s="5"/>
      <c r="L187" s="5"/>
      <c r="M187" s="5"/>
      <c r="N187" s="5"/>
      <c r="O187" s="5"/>
      <c r="P187" s="5"/>
      <c r="Q187" s="5"/>
    </row>
    <row r="188" spans="1:24">
      <c r="A188" s="544"/>
      <c r="B188" s="544"/>
      <c r="C188" s="544"/>
      <c r="D188" s="544"/>
      <c r="E188" s="544"/>
      <c r="F188" s="544"/>
      <c r="G188" s="544"/>
      <c r="H188" s="249">
        <f>G204</f>
        <v>0</v>
      </c>
      <c r="I188" s="5"/>
      <c r="J188" s="5"/>
      <c r="K188" s="5"/>
      <c r="L188" s="5"/>
      <c r="M188" s="5"/>
      <c r="N188" s="5"/>
      <c r="O188" s="5"/>
      <c r="P188" s="5"/>
      <c r="Q188" s="5"/>
    </row>
    <row r="189" spans="1:24" ht="15.75" customHeight="1" thickBot="1">
      <c r="A189" s="16"/>
      <c r="B189" s="15"/>
      <c r="C189" s="15"/>
      <c r="D189" s="15"/>
      <c r="E189" s="15"/>
      <c r="F189" s="15"/>
      <c r="G189" s="15"/>
      <c r="H189" s="249">
        <f>G204</f>
        <v>0</v>
      </c>
      <c r="I189" s="5"/>
      <c r="J189" s="5"/>
      <c r="K189" s="5"/>
      <c r="L189" s="5"/>
      <c r="M189" s="5"/>
      <c r="N189" s="5"/>
      <c r="O189" s="5"/>
      <c r="P189" s="5"/>
      <c r="Q189" s="5"/>
    </row>
    <row r="190" spans="1:24" ht="18.75" customHeight="1" thickTop="1">
      <c r="A190" s="6" t="s">
        <v>1</v>
      </c>
      <c r="B190" s="518" t="s">
        <v>3</v>
      </c>
      <c r="C190" s="518" t="s">
        <v>4</v>
      </c>
      <c r="D190" s="518" t="s">
        <v>5</v>
      </c>
      <c r="E190" s="518" t="s">
        <v>6</v>
      </c>
      <c r="F190" s="7" t="s">
        <v>7</v>
      </c>
      <c r="G190" s="8" t="s">
        <v>9</v>
      </c>
      <c r="H190" s="249">
        <f>G204</f>
        <v>0</v>
      </c>
      <c r="I190" s="5"/>
      <c r="J190" s="5"/>
      <c r="K190" s="5"/>
      <c r="L190" s="5"/>
      <c r="M190" s="5"/>
      <c r="N190" s="5"/>
      <c r="O190" s="5"/>
      <c r="P190" s="5"/>
      <c r="Q190" s="5"/>
    </row>
    <row r="191" spans="1:24" ht="24" customHeight="1" thickBot="1">
      <c r="A191" s="17" t="s">
        <v>2</v>
      </c>
      <c r="B191" s="527"/>
      <c r="C191" s="527"/>
      <c r="D191" s="527"/>
      <c r="E191" s="527"/>
      <c r="F191" s="18" t="s">
        <v>8</v>
      </c>
      <c r="G191" s="19" t="s">
        <v>8</v>
      </c>
      <c r="H191" s="249">
        <f>G204</f>
        <v>0</v>
      </c>
      <c r="I191" s="5"/>
      <c r="J191" s="5"/>
      <c r="K191" s="5"/>
      <c r="L191" s="5"/>
      <c r="M191" s="5"/>
      <c r="N191" s="5"/>
      <c r="O191" s="5"/>
      <c r="P191" s="5"/>
      <c r="Q191" s="5"/>
    </row>
    <row r="192" spans="1:24" ht="18" customHeight="1" thickTop="1" thickBot="1">
      <c r="A192" s="531" t="s">
        <v>27</v>
      </c>
      <c r="B192" s="532"/>
      <c r="C192" s="532"/>
      <c r="D192" s="264"/>
      <c r="E192" s="264"/>
      <c r="F192" s="264"/>
      <c r="G192" s="8"/>
      <c r="H192" s="248">
        <f>SUM(H193:H195)</f>
        <v>0</v>
      </c>
      <c r="I192" s="5"/>
      <c r="J192" s="5"/>
      <c r="K192" s="5"/>
      <c r="L192" s="5"/>
      <c r="M192" s="5"/>
      <c r="N192" s="5"/>
      <c r="O192" s="5"/>
      <c r="P192" s="5"/>
      <c r="Q192" s="5"/>
      <c r="S192" s="5"/>
      <c r="T192" s="5"/>
      <c r="U192" s="5"/>
      <c r="V192" s="5"/>
      <c r="W192" s="5"/>
      <c r="X192" s="5"/>
    </row>
    <row r="193" spans="1:17" ht="28.05" customHeight="1" thickTop="1" thickBot="1">
      <c r="A193" s="266"/>
      <c r="B193" s="267" t="s">
        <v>28</v>
      </c>
      <c r="C193" s="269" t="s">
        <v>182</v>
      </c>
      <c r="D193" s="267" t="s">
        <v>11</v>
      </c>
      <c r="E193" s="267"/>
      <c r="F193" s="287">
        <v>179</v>
      </c>
      <c r="G193" s="270">
        <f>E193*F193</f>
        <v>0</v>
      </c>
      <c r="H193" s="248">
        <f>E193</f>
        <v>0</v>
      </c>
      <c r="I193" s="5"/>
      <c r="J193" s="5"/>
      <c r="K193" s="5"/>
      <c r="L193" s="5"/>
      <c r="M193" s="5"/>
      <c r="N193" s="5"/>
      <c r="O193" s="5"/>
      <c r="P193" s="5"/>
      <c r="Q193" s="5"/>
    </row>
    <row r="194" spans="1:17" ht="18" customHeight="1" thickBot="1">
      <c r="A194" s="12"/>
      <c r="B194" s="3" t="s">
        <v>29</v>
      </c>
      <c r="C194" s="13" t="s">
        <v>30</v>
      </c>
      <c r="D194" s="3" t="s">
        <v>11</v>
      </c>
      <c r="E194" s="3"/>
      <c r="F194" s="286">
        <v>17</v>
      </c>
      <c r="G194" s="33">
        <f t="shared" ref="G194:G199" si="18">E194*F194</f>
        <v>0</v>
      </c>
      <c r="H194" s="248">
        <f t="shared" ref="H194:H199" si="19">E194</f>
        <v>0</v>
      </c>
      <c r="I194" s="5"/>
      <c r="J194" s="5"/>
      <c r="K194" s="5"/>
      <c r="L194" s="5"/>
      <c r="M194" s="5"/>
      <c r="N194" s="5"/>
      <c r="O194" s="5"/>
      <c r="P194" s="5"/>
      <c r="Q194" s="5"/>
    </row>
    <row r="195" spans="1:17" ht="18" customHeight="1" thickBot="1">
      <c r="A195" s="35"/>
      <c r="B195" s="40" t="s">
        <v>31</v>
      </c>
      <c r="C195" s="37" t="s">
        <v>183</v>
      </c>
      <c r="D195" s="40" t="s">
        <v>11</v>
      </c>
      <c r="E195" s="40"/>
      <c r="F195" s="288">
        <v>41</v>
      </c>
      <c r="G195" s="38">
        <f t="shared" si="18"/>
        <v>0</v>
      </c>
      <c r="H195" s="248">
        <f t="shared" si="19"/>
        <v>0</v>
      </c>
      <c r="I195" s="5"/>
      <c r="J195" s="5"/>
      <c r="K195" s="5"/>
      <c r="L195" s="5"/>
      <c r="M195" s="5"/>
      <c r="N195" s="5"/>
      <c r="O195" s="5"/>
      <c r="P195" s="5"/>
      <c r="Q195" s="5"/>
    </row>
    <row r="196" spans="1:17" ht="18" customHeight="1" thickTop="1" thickBot="1">
      <c r="A196" s="571" t="s">
        <v>326</v>
      </c>
      <c r="B196" s="572"/>
      <c r="C196" s="572"/>
      <c r="D196" s="165"/>
      <c r="E196" s="165"/>
      <c r="F196" s="14"/>
      <c r="G196" s="166"/>
      <c r="H196" s="248">
        <f>SUM(H197:H199)</f>
        <v>0</v>
      </c>
      <c r="I196" s="5"/>
      <c r="J196" s="5"/>
      <c r="K196" s="5"/>
      <c r="L196" s="5"/>
      <c r="M196" s="5"/>
      <c r="N196" s="5"/>
      <c r="O196" s="5"/>
      <c r="P196" s="5"/>
      <c r="Q196" s="5"/>
    </row>
    <row r="197" spans="1:17" ht="28.05" customHeight="1" thickTop="1" thickBot="1">
      <c r="A197" s="266"/>
      <c r="B197" s="267" t="s">
        <v>28</v>
      </c>
      <c r="C197" s="269" t="s">
        <v>182</v>
      </c>
      <c r="D197" s="267" t="s">
        <v>11</v>
      </c>
      <c r="E197" s="267"/>
      <c r="F197" s="287">
        <v>179</v>
      </c>
      <c r="G197" s="270">
        <f t="shared" si="18"/>
        <v>0</v>
      </c>
      <c r="H197" s="248">
        <f t="shared" si="19"/>
        <v>0</v>
      </c>
      <c r="I197" s="5"/>
      <c r="J197" s="5"/>
      <c r="K197" s="5"/>
      <c r="L197" s="5"/>
      <c r="M197" s="5"/>
      <c r="N197" s="5"/>
      <c r="O197" s="5"/>
      <c r="P197" s="5"/>
      <c r="Q197" s="5"/>
    </row>
    <row r="198" spans="1:17" ht="18" customHeight="1" thickBot="1">
      <c r="A198" s="12"/>
      <c r="B198" s="3" t="s">
        <v>29</v>
      </c>
      <c r="C198" s="13" t="s">
        <v>30</v>
      </c>
      <c r="D198" s="3" t="s">
        <v>11</v>
      </c>
      <c r="E198" s="3"/>
      <c r="F198" s="286">
        <v>17</v>
      </c>
      <c r="G198" s="33">
        <f t="shared" si="18"/>
        <v>0</v>
      </c>
      <c r="H198" s="248">
        <f t="shared" si="19"/>
        <v>0</v>
      </c>
      <c r="I198" s="5"/>
      <c r="J198" s="5"/>
      <c r="K198" s="5"/>
      <c r="L198" s="5"/>
      <c r="M198" s="5"/>
      <c r="N198" s="5"/>
      <c r="O198" s="5"/>
      <c r="P198" s="5"/>
      <c r="Q198" s="5"/>
    </row>
    <row r="199" spans="1:17" ht="18" customHeight="1" thickBot="1">
      <c r="A199" s="161"/>
      <c r="B199" s="162" t="s">
        <v>31</v>
      </c>
      <c r="C199" s="163" t="s">
        <v>183</v>
      </c>
      <c r="D199" s="162" t="s">
        <v>11</v>
      </c>
      <c r="E199" s="162"/>
      <c r="F199" s="288">
        <v>41</v>
      </c>
      <c r="G199" s="164">
        <f t="shared" si="18"/>
        <v>0</v>
      </c>
      <c r="H199" s="248">
        <f t="shared" si="19"/>
        <v>0</v>
      </c>
      <c r="I199" s="5"/>
      <c r="J199" s="5"/>
      <c r="K199" s="5"/>
      <c r="L199" s="5"/>
      <c r="M199" s="5"/>
      <c r="N199" s="5"/>
      <c r="O199" s="5"/>
      <c r="P199" s="5"/>
      <c r="Q199" s="5"/>
    </row>
    <row r="200" spans="1:17" ht="18" customHeight="1" thickTop="1" thickBot="1">
      <c r="A200" s="613" t="s">
        <v>32</v>
      </c>
      <c r="B200" s="614"/>
      <c r="C200" s="614"/>
      <c r="D200" s="315"/>
      <c r="E200" s="315"/>
      <c r="F200" s="14"/>
      <c r="G200" s="164"/>
      <c r="H200" s="248">
        <f>SUM(H201:H203)</f>
        <v>0</v>
      </c>
      <c r="I200" s="5"/>
      <c r="J200" s="5"/>
      <c r="K200" s="5"/>
      <c r="L200" s="5"/>
      <c r="M200" s="5"/>
      <c r="N200" s="5"/>
      <c r="O200" s="5"/>
      <c r="P200" s="5"/>
      <c r="Q200" s="5"/>
    </row>
    <row r="201" spans="1:17" ht="28.05" customHeight="1" thickTop="1" thickBot="1">
      <c r="A201" s="266"/>
      <c r="B201" s="267" t="s">
        <v>28</v>
      </c>
      <c r="C201" s="269" t="s">
        <v>182</v>
      </c>
      <c r="D201" s="267" t="s">
        <v>11</v>
      </c>
      <c r="E201" s="267"/>
      <c r="F201" s="287">
        <v>179</v>
      </c>
      <c r="G201" s="270">
        <f>E201*F201</f>
        <v>0</v>
      </c>
      <c r="H201" s="248">
        <f>E201</f>
        <v>0</v>
      </c>
      <c r="I201" s="5"/>
      <c r="J201" s="5"/>
      <c r="K201" s="5"/>
      <c r="L201" s="5"/>
      <c r="M201" s="5"/>
      <c r="N201" s="5"/>
      <c r="O201" s="5"/>
      <c r="P201" s="5"/>
      <c r="Q201" s="5"/>
    </row>
    <row r="202" spans="1:17" ht="18" customHeight="1" thickBot="1">
      <c r="A202" s="12"/>
      <c r="B202" s="3" t="s">
        <v>29</v>
      </c>
      <c r="C202" s="13" t="s">
        <v>30</v>
      </c>
      <c r="D202" s="3" t="s">
        <v>11</v>
      </c>
      <c r="E202" s="3"/>
      <c r="F202" s="286">
        <v>17</v>
      </c>
      <c r="G202" s="33">
        <f>E202*F202</f>
        <v>0</v>
      </c>
      <c r="H202" s="248">
        <f>E202</f>
        <v>0</v>
      </c>
      <c r="I202" s="5"/>
      <c r="J202" s="5"/>
      <c r="K202" s="5"/>
      <c r="L202" s="5"/>
      <c r="M202" s="5"/>
      <c r="N202" s="5"/>
      <c r="O202" s="5"/>
      <c r="P202" s="5"/>
      <c r="Q202" s="5"/>
    </row>
    <row r="203" spans="1:17" ht="18" customHeight="1" thickBot="1">
      <c r="A203" s="161"/>
      <c r="B203" s="162" t="s">
        <v>31</v>
      </c>
      <c r="C203" s="163" t="s">
        <v>183</v>
      </c>
      <c r="D203" s="162" t="s">
        <v>11</v>
      </c>
      <c r="E203" s="162"/>
      <c r="F203" s="288">
        <v>41</v>
      </c>
      <c r="G203" s="164">
        <f>E203*F203</f>
        <v>0</v>
      </c>
      <c r="H203" s="248">
        <f>E203</f>
        <v>0</v>
      </c>
      <c r="I203" s="5"/>
      <c r="J203" s="5"/>
      <c r="K203" s="5"/>
      <c r="L203" s="5"/>
      <c r="M203" s="5"/>
      <c r="N203" s="5"/>
      <c r="O203" s="5"/>
      <c r="P203" s="5"/>
      <c r="Q203" s="5"/>
    </row>
    <row r="204" spans="1:17" ht="18" customHeight="1" thickTop="1" thickBot="1">
      <c r="A204" s="537" t="s">
        <v>25</v>
      </c>
      <c r="B204" s="546"/>
      <c r="C204" s="546"/>
      <c r="D204" s="546"/>
      <c r="E204" s="546"/>
      <c r="F204" s="546"/>
      <c r="G204" s="268">
        <f>SUM(G193:G203)</f>
        <v>0</v>
      </c>
      <c r="H204" s="251">
        <f>G204</f>
        <v>0</v>
      </c>
      <c r="I204" s="5"/>
      <c r="J204" s="5"/>
      <c r="K204" s="5"/>
      <c r="L204" s="5"/>
      <c r="M204" s="5"/>
      <c r="N204" s="5"/>
      <c r="O204" s="5"/>
      <c r="P204" s="5"/>
      <c r="Q204" s="5"/>
    </row>
    <row r="205" spans="1:17" ht="18" customHeight="1" thickTop="1" thickBot="1">
      <c r="A205" s="522" t="s">
        <v>157</v>
      </c>
      <c r="B205" s="523"/>
      <c r="C205" s="523"/>
      <c r="D205" s="523"/>
      <c r="E205" s="47">
        <v>0</v>
      </c>
      <c r="F205" s="42"/>
      <c r="G205" s="98">
        <f>G204*(1-E205)</f>
        <v>0</v>
      </c>
      <c r="H205" s="251">
        <f>G205</f>
        <v>0</v>
      </c>
      <c r="I205" s="5"/>
      <c r="J205" s="5"/>
      <c r="K205" s="5"/>
      <c r="L205" s="5"/>
      <c r="M205" s="5"/>
      <c r="N205" s="5"/>
      <c r="O205" s="5"/>
      <c r="P205" s="5"/>
      <c r="Q205" s="5"/>
    </row>
    <row r="206" spans="1:17" ht="18" customHeight="1" thickTop="1" thickBot="1">
      <c r="A206" s="547" t="s">
        <v>143</v>
      </c>
      <c r="B206" s="548"/>
      <c r="C206" s="548"/>
      <c r="D206" s="548"/>
      <c r="E206" s="548"/>
      <c r="F206" s="548"/>
      <c r="G206" s="99">
        <f>G205*1.21</f>
        <v>0</v>
      </c>
      <c r="H206" s="251">
        <f>G206</f>
        <v>0</v>
      </c>
      <c r="I206" s="5"/>
      <c r="J206" s="5"/>
      <c r="K206" s="5"/>
      <c r="L206" s="5"/>
      <c r="M206" s="5"/>
      <c r="N206" s="5"/>
      <c r="O206" s="5"/>
      <c r="P206" s="5"/>
      <c r="Q206" s="5"/>
    </row>
    <row r="207" spans="1:17" ht="18" customHeight="1" thickTop="1">
      <c r="A207" s="53"/>
      <c r="B207" s="53"/>
      <c r="C207" s="53"/>
      <c r="D207" s="53"/>
      <c r="E207" s="53"/>
      <c r="F207" s="53"/>
      <c r="G207" s="218"/>
      <c r="H207" s="251"/>
      <c r="I207" s="5"/>
      <c r="J207" s="5"/>
      <c r="K207" s="5"/>
      <c r="L207" s="5"/>
      <c r="M207" s="5"/>
      <c r="N207" s="5"/>
      <c r="O207" s="5"/>
      <c r="P207" s="5"/>
      <c r="Q207" s="5"/>
    </row>
    <row r="208" spans="1:17" ht="18.75" customHeight="1">
      <c r="A208" s="14"/>
      <c r="B208" s="15"/>
      <c r="C208" s="15"/>
      <c r="D208" s="15"/>
      <c r="E208" s="15"/>
      <c r="F208" s="15"/>
      <c r="G208" s="15"/>
      <c r="H208" s="251">
        <f>G226</f>
        <v>0</v>
      </c>
      <c r="I208" s="5"/>
      <c r="J208" s="5"/>
      <c r="K208" s="5"/>
      <c r="L208" s="5"/>
      <c r="M208" s="5"/>
      <c r="N208" s="5"/>
      <c r="O208" s="5"/>
      <c r="P208" s="5"/>
      <c r="Q208" s="5"/>
    </row>
    <row r="209" spans="1:17" ht="18" customHeight="1">
      <c r="A209" s="549" t="s">
        <v>381</v>
      </c>
      <c r="B209" s="549"/>
      <c r="C209" s="549"/>
      <c r="D209" s="549"/>
      <c r="E209" s="549"/>
      <c r="F209" s="549"/>
      <c r="G209" s="549"/>
      <c r="H209" s="251">
        <f>G226</f>
        <v>0</v>
      </c>
      <c r="I209" s="5"/>
      <c r="J209" s="5"/>
      <c r="K209" s="5"/>
      <c r="L209" s="5"/>
      <c r="M209" s="5"/>
      <c r="N209" s="5"/>
      <c r="O209" s="5"/>
      <c r="P209" s="5"/>
      <c r="Q209" s="5"/>
    </row>
    <row r="210" spans="1:17" ht="15.9" customHeight="1">
      <c r="A210" s="544"/>
      <c r="B210" s="544"/>
      <c r="C210" s="544"/>
      <c r="D210" s="544"/>
      <c r="E210" s="544"/>
      <c r="F210" s="544"/>
      <c r="G210" s="544"/>
      <c r="H210" s="251">
        <f>G226</f>
        <v>0</v>
      </c>
      <c r="I210" s="5"/>
      <c r="J210" s="5"/>
      <c r="K210" s="5"/>
      <c r="L210" s="5"/>
      <c r="M210" s="5"/>
      <c r="N210" s="5"/>
      <c r="O210" s="5"/>
      <c r="P210" s="5"/>
      <c r="Q210" s="5"/>
    </row>
    <row r="211" spans="1:17" ht="15.75" customHeight="1" thickBot="1">
      <c r="A211" s="16"/>
      <c r="B211" s="15"/>
      <c r="C211" s="15"/>
      <c r="D211" s="15"/>
      <c r="E211" s="15"/>
      <c r="F211" s="15"/>
      <c r="G211" s="15"/>
      <c r="H211" s="251">
        <f>G226</f>
        <v>0</v>
      </c>
      <c r="I211" s="5"/>
      <c r="J211" s="5"/>
      <c r="K211" s="5"/>
      <c r="L211" s="5"/>
      <c r="M211" s="5"/>
      <c r="N211" s="5"/>
      <c r="O211" s="5"/>
      <c r="P211" s="5"/>
      <c r="Q211" s="5"/>
    </row>
    <row r="212" spans="1:17" ht="18" customHeight="1" thickTop="1">
      <c r="A212" s="6" t="s">
        <v>1</v>
      </c>
      <c r="B212" s="518" t="s">
        <v>3</v>
      </c>
      <c r="C212" s="518" t="s">
        <v>4</v>
      </c>
      <c r="D212" s="518" t="s">
        <v>5</v>
      </c>
      <c r="E212" s="518" t="s">
        <v>6</v>
      </c>
      <c r="F212" s="7" t="s">
        <v>7</v>
      </c>
      <c r="G212" s="8" t="s">
        <v>9</v>
      </c>
      <c r="H212" s="251">
        <f>G226</f>
        <v>0</v>
      </c>
      <c r="I212" s="5"/>
      <c r="J212" s="5"/>
      <c r="K212" s="5"/>
      <c r="L212" s="5"/>
      <c r="M212" s="5"/>
      <c r="N212" s="5"/>
      <c r="O212" s="5"/>
      <c r="P212" s="5"/>
      <c r="Q212" s="5"/>
    </row>
    <row r="213" spans="1:17" ht="24" customHeight="1" thickBot="1">
      <c r="A213" s="17" t="s">
        <v>2</v>
      </c>
      <c r="B213" s="527"/>
      <c r="C213" s="527"/>
      <c r="D213" s="527"/>
      <c r="E213" s="527"/>
      <c r="F213" s="18" t="s">
        <v>8</v>
      </c>
      <c r="G213" s="19" t="s">
        <v>8</v>
      </c>
      <c r="H213" s="251">
        <f>G226</f>
        <v>0</v>
      </c>
      <c r="I213" s="5"/>
      <c r="J213" s="5"/>
      <c r="K213" s="5"/>
      <c r="L213" s="5"/>
      <c r="M213" s="5"/>
      <c r="N213" s="5"/>
      <c r="O213" s="5"/>
      <c r="P213" s="5"/>
      <c r="Q213" s="5"/>
    </row>
    <row r="214" spans="1:17" ht="18" customHeight="1" thickTop="1" thickBot="1">
      <c r="A214" s="571" t="s">
        <v>27</v>
      </c>
      <c r="B214" s="578"/>
      <c r="C214" s="578"/>
      <c r="D214" s="165"/>
      <c r="E214" s="165"/>
      <c r="F214" s="165"/>
      <c r="G214" s="153"/>
      <c r="H214" s="248">
        <f>SUM(H215:H217)</f>
        <v>0</v>
      </c>
      <c r="I214" s="5"/>
      <c r="J214" s="5"/>
      <c r="K214" s="5"/>
      <c r="L214" s="5"/>
      <c r="M214" s="5"/>
      <c r="N214" s="5"/>
      <c r="O214" s="5"/>
      <c r="P214" s="5"/>
      <c r="Q214" s="5"/>
    </row>
    <row r="215" spans="1:17" ht="27.9" customHeight="1" thickTop="1" thickBot="1">
      <c r="A215" s="12"/>
      <c r="B215" s="3" t="s">
        <v>376</v>
      </c>
      <c r="C215" s="13" t="s">
        <v>379</v>
      </c>
      <c r="D215" s="3" t="s">
        <v>11</v>
      </c>
      <c r="E215" s="3"/>
      <c r="F215" s="287">
        <v>229</v>
      </c>
      <c r="G215" s="33">
        <f>E215*F215</f>
        <v>0</v>
      </c>
      <c r="H215" s="248">
        <f>E215</f>
        <v>0</v>
      </c>
      <c r="I215" s="5"/>
      <c r="J215" s="5"/>
      <c r="K215" s="5"/>
      <c r="L215" s="5"/>
      <c r="M215" s="5"/>
      <c r="N215" s="5"/>
      <c r="O215" s="5"/>
      <c r="P215" s="5"/>
      <c r="Q215" s="5"/>
    </row>
    <row r="216" spans="1:17" ht="18" customHeight="1" thickBot="1">
      <c r="A216" s="12"/>
      <c r="B216" s="3" t="s">
        <v>29</v>
      </c>
      <c r="C216" s="13" t="s">
        <v>30</v>
      </c>
      <c r="D216" s="3" t="s">
        <v>11</v>
      </c>
      <c r="E216" s="3"/>
      <c r="F216" s="286">
        <v>17</v>
      </c>
      <c r="G216" s="33">
        <f t="shared" ref="G216:G225" si="20">E216*F216</f>
        <v>0</v>
      </c>
      <c r="H216" s="248">
        <f>E216</f>
        <v>0</v>
      </c>
      <c r="I216" s="5"/>
      <c r="J216" s="5"/>
      <c r="K216" s="5"/>
      <c r="L216" s="5"/>
      <c r="M216" s="5"/>
      <c r="N216" s="5"/>
      <c r="O216" s="5"/>
      <c r="P216" s="5"/>
      <c r="Q216" s="5"/>
    </row>
    <row r="217" spans="1:17" ht="18" customHeight="1" thickBot="1">
      <c r="A217" s="35"/>
      <c r="B217" s="40" t="s">
        <v>377</v>
      </c>
      <c r="C217" s="37" t="s">
        <v>378</v>
      </c>
      <c r="D217" s="40" t="s">
        <v>11</v>
      </c>
      <c r="E217" s="40"/>
      <c r="F217" s="303">
        <v>63</v>
      </c>
      <c r="G217" s="38">
        <f t="shared" si="20"/>
        <v>0</v>
      </c>
      <c r="H217" s="248">
        <f>E217</f>
        <v>0</v>
      </c>
      <c r="I217" s="5"/>
      <c r="J217" s="5"/>
      <c r="K217" s="5"/>
      <c r="L217" s="5"/>
      <c r="M217" s="5"/>
      <c r="N217" s="5"/>
      <c r="O217" s="5"/>
      <c r="P217" s="5"/>
      <c r="Q217" s="5"/>
    </row>
    <row r="218" spans="1:17" ht="18" customHeight="1" thickTop="1" thickBot="1">
      <c r="A218" s="571" t="s">
        <v>326</v>
      </c>
      <c r="B218" s="572"/>
      <c r="C218" s="572"/>
      <c r="D218" s="165"/>
      <c r="E218" s="165"/>
      <c r="F218" s="309"/>
      <c r="G218" s="166"/>
      <c r="H218" s="248">
        <f>SUM(H219:H221)</f>
        <v>0</v>
      </c>
      <c r="I218" s="5"/>
      <c r="J218" s="5"/>
      <c r="K218" s="5"/>
      <c r="L218" s="5"/>
      <c r="M218" s="5"/>
      <c r="N218" s="5"/>
      <c r="O218" s="5"/>
      <c r="P218" s="5"/>
      <c r="Q218" s="5"/>
    </row>
    <row r="219" spans="1:17" ht="27.9" customHeight="1" thickTop="1" thickBot="1">
      <c r="A219" s="12"/>
      <c r="B219" s="3" t="s">
        <v>376</v>
      </c>
      <c r="C219" s="13" t="s">
        <v>379</v>
      </c>
      <c r="D219" s="3" t="s">
        <v>11</v>
      </c>
      <c r="E219" s="3"/>
      <c r="F219" s="287">
        <v>229</v>
      </c>
      <c r="G219" s="33">
        <f>E219*F219</f>
        <v>0</v>
      </c>
      <c r="H219" s="248">
        <f>E219</f>
        <v>0</v>
      </c>
      <c r="I219" s="5"/>
      <c r="J219" s="5"/>
      <c r="K219" s="5"/>
      <c r="L219" s="5"/>
      <c r="M219" s="5"/>
      <c r="N219" s="5"/>
      <c r="O219" s="5"/>
      <c r="P219" s="5"/>
      <c r="Q219" s="5"/>
    </row>
    <row r="220" spans="1:17" ht="18" customHeight="1" thickBot="1">
      <c r="A220" s="12"/>
      <c r="B220" s="3" t="s">
        <v>29</v>
      </c>
      <c r="C220" s="13" t="s">
        <v>30</v>
      </c>
      <c r="D220" s="3" t="s">
        <v>11</v>
      </c>
      <c r="E220" s="3"/>
      <c r="F220" s="286">
        <v>17</v>
      </c>
      <c r="G220" s="33">
        <f>E220*F220</f>
        <v>0</v>
      </c>
      <c r="H220" s="248">
        <f>E220</f>
        <v>0</v>
      </c>
      <c r="I220" s="5"/>
      <c r="J220" s="5"/>
      <c r="K220" s="5"/>
      <c r="L220" s="5"/>
      <c r="M220" s="5"/>
      <c r="N220" s="5"/>
      <c r="O220" s="5"/>
      <c r="P220" s="5"/>
      <c r="Q220" s="5"/>
    </row>
    <row r="221" spans="1:17" ht="18" customHeight="1" thickBot="1">
      <c r="A221" s="35"/>
      <c r="B221" s="40" t="s">
        <v>377</v>
      </c>
      <c r="C221" s="37" t="s">
        <v>378</v>
      </c>
      <c r="D221" s="40" t="s">
        <v>11</v>
      </c>
      <c r="E221" s="40"/>
      <c r="F221" s="303">
        <v>63</v>
      </c>
      <c r="G221" s="38">
        <f>E221*F221</f>
        <v>0</v>
      </c>
      <c r="H221" s="248">
        <f>E221</f>
        <v>0</v>
      </c>
      <c r="I221" s="5"/>
      <c r="J221" s="5"/>
      <c r="K221" s="5"/>
      <c r="L221" s="5"/>
      <c r="M221" s="5"/>
      <c r="N221" s="5"/>
      <c r="O221" s="5"/>
      <c r="P221" s="5"/>
      <c r="Q221" s="5"/>
    </row>
    <row r="222" spans="1:17" ht="18" customHeight="1" thickTop="1" thickBot="1">
      <c r="A222" s="571" t="s">
        <v>32</v>
      </c>
      <c r="B222" s="572"/>
      <c r="C222" s="572"/>
      <c r="D222" s="165"/>
      <c r="E222" s="165"/>
      <c r="F222" s="310"/>
      <c r="G222" s="166"/>
      <c r="H222" s="248">
        <f>SUM(H223:H225)</f>
        <v>0</v>
      </c>
      <c r="I222" s="5"/>
    </row>
    <row r="223" spans="1:17" ht="27.9" customHeight="1" thickTop="1" thickBot="1">
      <c r="A223" s="12"/>
      <c r="B223" s="3" t="s">
        <v>376</v>
      </c>
      <c r="C223" s="13" t="s">
        <v>379</v>
      </c>
      <c r="D223" s="3" t="s">
        <v>11</v>
      </c>
      <c r="E223" s="3"/>
      <c r="F223" s="287">
        <v>229</v>
      </c>
      <c r="G223" s="33">
        <f t="shared" si="20"/>
        <v>0</v>
      </c>
      <c r="H223" s="248">
        <f>E223</f>
        <v>0</v>
      </c>
      <c r="I223" s="5"/>
    </row>
    <row r="224" spans="1:17" ht="18" customHeight="1" thickBot="1">
      <c r="A224" s="12"/>
      <c r="B224" s="3" t="s">
        <v>29</v>
      </c>
      <c r="C224" s="13" t="s">
        <v>30</v>
      </c>
      <c r="D224" s="3" t="s">
        <v>11</v>
      </c>
      <c r="E224" s="3"/>
      <c r="F224" s="286">
        <v>17</v>
      </c>
      <c r="G224" s="33">
        <f t="shared" si="20"/>
        <v>0</v>
      </c>
      <c r="H224" s="248">
        <f>E224</f>
        <v>0</v>
      </c>
      <c r="I224" s="5"/>
    </row>
    <row r="225" spans="1:21" ht="18" customHeight="1" thickBot="1">
      <c r="A225" s="35"/>
      <c r="B225" s="40" t="s">
        <v>377</v>
      </c>
      <c r="C225" s="37" t="s">
        <v>378</v>
      </c>
      <c r="D225" s="40" t="s">
        <v>11</v>
      </c>
      <c r="E225" s="40"/>
      <c r="F225" s="288">
        <v>63</v>
      </c>
      <c r="G225" s="38">
        <f t="shared" si="20"/>
        <v>0</v>
      </c>
      <c r="H225" s="248">
        <f>E225</f>
        <v>0</v>
      </c>
      <c r="I225" s="5"/>
    </row>
    <row r="226" spans="1:21" ht="18" customHeight="1" thickTop="1" thickBot="1">
      <c r="A226" s="522" t="s">
        <v>25</v>
      </c>
      <c r="B226" s="523"/>
      <c r="C226" s="523"/>
      <c r="D226" s="523"/>
      <c r="E226" s="523"/>
      <c r="F226" s="523"/>
      <c r="G226" s="96">
        <f>SUM(G215:G225)</f>
        <v>0</v>
      </c>
      <c r="H226" s="251">
        <f>G226</f>
        <v>0</v>
      </c>
      <c r="K226" t="s">
        <v>184</v>
      </c>
    </row>
    <row r="227" spans="1:21" ht="18" customHeight="1" thickTop="1" thickBot="1">
      <c r="A227" s="537" t="s">
        <v>157</v>
      </c>
      <c r="B227" s="573"/>
      <c r="C227" s="573"/>
      <c r="D227" s="573"/>
      <c r="E227" s="304">
        <v>0</v>
      </c>
      <c r="F227" s="265"/>
      <c r="G227" s="99">
        <f>G226*(1-E227)</f>
        <v>0</v>
      </c>
      <c r="H227" s="251">
        <f>G227</f>
        <v>0</v>
      </c>
    </row>
    <row r="228" spans="1:21" ht="18" customHeight="1" thickTop="1" thickBot="1">
      <c r="A228" s="522" t="s">
        <v>143</v>
      </c>
      <c r="B228" s="523"/>
      <c r="C228" s="523"/>
      <c r="D228" s="523"/>
      <c r="E228" s="523"/>
      <c r="F228" s="523"/>
      <c r="G228" s="98">
        <f>G227*1.21</f>
        <v>0</v>
      </c>
      <c r="H228" s="251">
        <f>G228</f>
        <v>0</v>
      </c>
    </row>
    <row r="229" spans="1:21" ht="15" thickTop="1"/>
    <row r="230" spans="1:21" ht="18" customHeight="1">
      <c r="A230" s="544" t="s">
        <v>169</v>
      </c>
      <c r="B230" s="544"/>
      <c r="C230" s="544"/>
      <c r="D230" s="544"/>
      <c r="E230" s="544"/>
      <c r="F230" s="544"/>
      <c r="G230" s="544"/>
      <c r="J230" s="81"/>
      <c r="K230" s="82"/>
      <c r="L230" s="80"/>
      <c r="M230" s="78"/>
      <c r="N230" s="78"/>
      <c r="P230" s="49"/>
      <c r="Q230" s="50"/>
      <c r="R230" s="50"/>
      <c r="S230" s="50"/>
    </row>
    <row r="231" spans="1:21" ht="32.25" customHeight="1">
      <c r="A231" s="559" t="s">
        <v>382</v>
      </c>
      <c r="B231" s="559"/>
      <c r="C231" s="559"/>
      <c r="D231" s="559"/>
      <c r="E231" s="559"/>
      <c r="F231" s="559"/>
      <c r="G231" s="559"/>
      <c r="I231" s="558"/>
      <c r="J231" s="558"/>
      <c r="K231" s="558"/>
      <c r="L231" s="83"/>
      <c r="M231" s="84"/>
      <c r="N231" s="84"/>
      <c r="O231" s="51"/>
      <c r="P231" s="49"/>
      <c r="Q231" s="50"/>
      <c r="R231" s="50"/>
      <c r="S231" s="50"/>
    </row>
    <row r="232" spans="1:21" ht="30.75" customHeight="1">
      <c r="A232" s="559" t="s">
        <v>383</v>
      </c>
      <c r="B232" s="559"/>
      <c r="C232" s="559"/>
      <c r="D232" s="559"/>
      <c r="E232" s="559"/>
      <c r="F232" s="559"/>
      <c r="G232" s="559"/>
      <c r="I232" s="556"/>
      <c r="J232" s="79"/>
      <c r="K232" s="80"/>
      <c r="L232" s="80"/>
      <c r="M232" s="78"/>
      <c r="N232" s="78"/>
      <c r="O232" s="551"/>
      <c r="P232" s="49"/>
      <c r="Q232" s="50"/>
      <c r="R232" s="50"/>
      <c r="S232" s="50"/>
    </row>
    <row r="233" spans="1:21" ht="18" customHeight="1">
      <c r="A233" s="16"/>
      <c r="B233" s="16"/>
      <c r="C233" s="16"/>
      <c r="D233" s="16"/>
      <c r="E233" s="16"/>
      <c r="F233" s="16"/>
      <c r="G233" s="16"/>
      <c r="I233" s="557"/>
      <c r="J233" s="79"/>
      <c r="K233" s="80"/>
      <c r="L233" s="80"/>
      <c r="M233" s="78"/>
      <c r="N233" s="78"/>
      <c r="O233" s="552"/>
      <c r="P233" s="49"/>
      <c r="Q233" s="50"/>
      <c r="R233" s="50"/>
      <c r="S233" s="50"/>
    </row>
    <row r="234" spans="1:21" ht="18" customHeight="1">
      <c r="A234" s="560" t="s">
        <v>142</v>
      </c>
      <c r="B234" s="560"/>
      <c r="C234" s="560"/>
      <c r="G234" s="44"/>
      <c r="I234" s="557"/>
      <c r="J234" s="79"/>
      <c r="K234" s="80"/>
      <c r="L234" s="80"/>
      <c r="M234" s="78"/>
      <c r="N234" s="78"/>
      <c r="O234" s="552"/>
      <c r="P234" s="49"/>
      <c r="Q234" s="50"/>
      <c r="R234" s="50"/>
      <c r="S234" s="50"/>
    </row>
    <row r="235" spans="1:21" ht="18" customHeight="1">
      <c r="A235" s="561" t="s">
        <v>324</v>
      </c>
      <c r="B235" s="561"/>
      <c r="C235" s="561"/>
      <c r="D235" s="196"/>
      <c r="E235" s="210"/>
      <c r="F235" s="210"/>
      <c r="G235" s="211"/>
      <c r="I235" s="557"/>
      <c r="J235" s="79"/>
      <c r="K235" s="80"/>
      <c r="L235" s="80"/>
      <c r="M235" s="78"/>
      <c r="N235" s="78"/>
      <c r="O235" s="552"/>
      <c r="P235" s="49"/>
      <c r="Q235" s="50"/>
      <c r="R235" s="50"/>
      <c r="S235" s="50"/>
    </row>
    <row r="236" spans="1:21" ht="18" customHeight="1">
      <c r="A236" s="544" t="s">
        <v>56</v>
      </c>
      <c r="B236" s="544"/>
      <c r="C236" s="544"/>
      <c r="D236" s="544"/>
      <c r="E236" s="544"/>
      <c r="F236" s="544"/>
      <c r="G236" s="544"/>
      <c r="I236" s="557"/>
      <c r="J236" s="79"/>
      <c r="K236" s="80"/>
      <c r="L236" s="80"/>
      <c r="M236" s="78"/>
      <c r="N236" s="78"/>
      <c r="O236" s="552"/>
      <c r="P236" s="49"/>
      <c r="Q236" s="50"/>
      <c r="R236" s="50"/>
      <c r="S236" s="50"/>
    </row>
    <row r="237" spans="1:21" ht="18" customHeight="1">
      <c r="A237" s="544" t="s">
        <v>93</v>
      </c>
      <c r="B237" s="544"/>
      <c r="C237" s="544"/>
      <c r="D237" s="544"/>
      <c r="E237" s="544"/>
      <c r="F237" s="544"/>
      <c r="G237" s="544"/>
      <c r="I237" s="557"/>
      <c r="J237" s="79"/>
      <c r="K237" s="80"/>
      <c r="L237" s="80"/>
      <c r="M237" s="78"/>
      <c r="N237" s="78"/>
      <c r="O237" s="552"/>
      <c r="P237" s="49"/>
      <c r="Q237" s="50"/>
      <c r="R237" s="50"/>
      <c r="S237" s="50"/>
      <c r="U237" s="69"/>
    </row>
    <row r="238" spans="1:21" ht="18" customHeight="1">
      <c r="A238" s="544" t="s">
        <v>57</v>
      </c>
      <c r="B238" s="544"/>
      <c r="C238" s="544"/>
      <c r="D238" s="544"/>
      <c r="E238" s="544"/>
      <c r="F238" s="544"/>
      <c r="G238" s="544"/>
      <c r="I238" s="557"/>
      <c r="J238" s="79"/>
      <c r="K238" s="80"/>
      <c r="L238" s="80"/>
      <c r="M238" s="78"/>
      <c r="N238" s="78"/>
      <c r="O238" s="552"/>
      <c r="Q238" s="50"/>
      <c r="R238" s="50"/>
      <c r="S238" s="50"/>
    </row>
    <row r="239" spans="1:21" ht="18" customHeight="1">
      <c r="A239" s="16"/>
      <c r="B239" s="15"/>
      <c r="C239" s="15"/>
      <c r="D239" s="15"/>
      <c r="E239" s="15"/>
      <c r="F239" s="15"/>
      <c r="G239" s="15"/>
      <c r="I239" s="557"/>
      <c r="J239" s="79"/>
      <c r="K239" s="80"/>
      <c r="L239" s="80"/>
      <c r="M239" s="78"/>
      <c r="N239" s="78"/>
      <c r="O239" s="552"/>
      <c r="P239" s="49"/>
      <c r="Q239" s="50"/>
      <c r="R239" s="50"/>
      <c r="S239" s="50"/>
    </row>
    <row r="240" spans="1:21" ht="18" customHeight="1">
      <c r="A240" s="15"/>
      <c r="B240" s="21" t="s">
        <v>33</v>
      </c>
      <c r="C240" s="22"/>
      <c r="D240" s="22"/>
      <c r="E240" s="22"/>
      <c r="F240" s="22"/>
      <c r="G240" s="22"/>
      <c r="I240" s="557"/>
      <c r="J240" s="79"/>
      <c r="K240" s="80"/>
      <c r="L240" s="80"/>
      <c r="M240" s="78"/>
      <c r="N240" s="78"/>
      <c r="O240" s="552"/>
      <c r="P240" s="49"/>
      <c r="Q240" s="50"/>
      <c r="R240" s="50"/>
      <c r="S240" s="50"/>
    </row>
    <row r="241" spans="1:19" ht="18" customHeight="1">
      <c r="A241" s="15"/>
      <c r="B241" s="23"/>
      <c r="C241" s="24"/>
      <c r="D241" s="24"/>
      <c r="E241" s="24"/>
      <c r="F241" s="24"/>
      <c r="G241" s="24"/>
      <c r="I241" s="557"/>
      <c r="J241" s="79"/>
      <c r="K241" s="80"/>
      <c r="L241" s="80"/>
      <c r="M241" s="78"/>
      <c r="N241" s="78"/>
      <c r="O241" s="552"/>
      <c r="P241" s="49"/>
      <c r="Q241" s="50"/>
      <c r="R241" s="50"/>
      <c r="S241" s="50"/>
    </row>
    <row r="242" spans="1:19" ht="18" customHeight="1">
      <c r="A242" s="25"/>
      <c r="B242" s="553"/>
      <c r="C242" s="530"/>
      <c r="D242" s="25"/>
      <c r="E242" s="25"/>
      <c r="F242" s="25"/>
      <c r="G242" s="25"/>
      <c r="I242" s="557"/>
      <c r="J242" s="81"/>
      <c r="K242" s="82"/>
      <c r="L242" s="80"/>
      <c r="M242" s="78"/>
      <c r="N242" s="85"/>
      <c r="O242" s="552"/>
      <c r="P242" s="49"/>
      <c r="Q242" s="50"/>
      <c r="R242" s="50"/>
      <c r="S242" s="50"/>
    </row>
    <row r="243" spans="1:19" ht="15.75" customHeight="1">
      <c r="A243" s="25"/>
      <c r="B243" s="553" t="s">
        <v>34</v>
      </c>
      <c r="C243" s="530"/>
      <c r="D243" s="25"/>
      <c r="E243" s="25"/>
      <c r="F243" s="25"/>
      <c r="G243" s="25"/>
      <c r="I243" s="557"/>
      <c r="J243" s="77"/>
      <c r="K243" s="85"/>
      <c r="L243" s="80"/>
      <c r="M243" s="78"/>
      <c r="N243" s="85"/>
      <c r="O243" s="552"/>
      <c r="P243" s="49"/>
      <c r="Q243" s="50"/>
      <c r="R243" s="50"/>
      <c r="S243" s="50"/>
    </row>
  </sheetData>
  <autoFilter ref="H20:H228" xr:uid="{E4FF69F4-E739-4ACC-AAF1-BBF11C32088B}"/>
  <mergeCells count="72">
    <mergeCell ref="A226:F226"/>
    <mergeCell ref="A227:D227"/>
    <mergeCell ref="A228:F228"/>
    <mergeCell ref="A187:G187"/>
    <mergeCell ref="A200:C200"/>
    <mergeCell ref="A204:F204"/>
    <mergeCell ref="A205:D205"/>
    <mergeCell ref="A206:F206"/>
    <mergeCell ref="A209:G209"/>
    <mergeCell ref="A210:G210"/>
    <mergeCell ref="B212:B213"/>
    <mergeCell ref="C212:C213"/>
    <mergeCell ref="D212:D213"/>
    <mergeCell ref="E212:E213"/>
    <mergeCell ref="A214:C214"/>
    <mergeCell ref="A218:C218"/>
    <mergeCell ref="A222:C222"/>
    <mergeCell ref="A192:C192"/>
    <mergeCell ref="A188:G188"/>
    <mergeCell ref="B190:B191"/>
    <mergeCell ref="C190:C191"/>
    <mergeCell ref="D190:D191"/>
    <mergeCell ref="E190:E191"/>
    <mergeCell ref="A196:C196"/>
    <mergeCell ref="A161:C161"/>
    <mergeCell ref="K31:O31"/>
    <mergeCell ref="A178:D178"/>
    <mergeCell ref="A43:C43"/>
    <mergeCell ref="A48:C48"/>
    <mergeCell ref="A50:C50"/>
    <mergeCell ref="A31:C31"/>
    <mergeCell ref="A39:D39"/>
    <mergeCell ref="A113:C113"/>
    <mergeCell ref="K115:O115"/>
    <mergeCell ref="A116:C116"/>
    <mergeCell ref="A132:C132"/>
    <mergeCell ref="A27:C27"/>
    <mergeCell ref="A144:C144"/>
    <mergeCell ref="A152:D152"/>
    <mergeCell ref="A154:D154"/>
    <mergeCell ref="A156:D156"/>
    <mergeCell ref="C19:C20"/>
    <mergeCell ref="D19:D20"/>
    <mergeCell ref="E19:E20"/>
    <mergeCell ref="A21:C21"/>
    <mergeCell ref="A24:C24"/>
    <mergeCell ref="A230:G230"/>
    <mergeCell ref="A231:G231"/>
    <mergeCell ref="I231:K231"/>
    <mergeCell ref="A2:C2"/>
    <mergeCell ref="A4:C4"/>
    <mergeCell ref="A10:G10"/>
    <mergeCell ref="A11:G11"/>
    <mergeCell ref="A18:G18"/>
    <mergeCell ref="A5:C5"/>
    <mergeCell ref="A6:C6"/>
    <mergeCell ref="A7:C7"/>
    <mergeCell ref="A8:C8"/>
    <mergeCell ref="A179:D179"/>
    <mergeCell ref="A180:D180"/>
    <mergeCell ref="A185:G185"/>
    <mergeCell ref="B19:B20"/>
    <mergeCell ref="A232:G232"/>
    <mergeCell ref="I232:I243"/>
    <mergeCell ref="O232:O243"/>
    <mergeCell ref="A234:C234"/>
    <mergeCell ref="A235:C235"/>
    <mergeCell ref="A236:G236"/>
    <mergeCell ref="A237:G237"/>
    <mergeCell ref="A238:G238"/>
    <mergeCell ref="B242:C242"/>
    <mergeCell ref="B243:C243"/>
  </mergeCells>
  <phoneticPr fontId="16" type="noConversion"/>
  <hyperlinks>
    <hyperlink ref="B243" r:id="rId1" xr:uid="{15037AE2-FC19-4A22-BFBE-CB45F616FDA7}"/>
    <hyperlink ref="A235" r:id="rId2" xr:uid="{F75A1761-3788-45A2-9036-AD045876551C}"/>
  </hyperlinks>
  <pageMargins left="0.70866141732283505" right="0.23622047244094499" top="1.14173228346457" bottom="1.1599999999999999" header="0.196850393700787" footer="0.15748031496063"/>
  <pageSetup paperSize="9" scale="83" orientation="portrait" r:id="rId3"/>
  <headerFooter scaleWithDoc="0" alignWithMargins="0">
    <oddHeader>&amp;L&amp;G&amp;R&amp;G</oddHeader>
    <oddFooter xml:space="preserve">&amp;L
RO33404978
J40/8589/2014
RO56INGB0000999915150915
ING BANK NV&amp;CStr. Învingătorilor nr. 27, Sector 3, București
Tel :  (+4) 0314.361.836
Mobil:  (+4) 0724.204.888
             (+4) 0766.367.287&amp;REmail: 
comercial@magnumheating.ro
</oddFooter>
  </headerFooter>
  <colBreaks count="1" manualBreakCount="1">
    <brk id="7" max="1048575" man="1"/>
  </colBreaks>
  <drawing r:id="rId4"/>
  <legacyDrawingHF r:id="rId5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3B7CD0-6148-4F50-82A9-B69B0941F6CE}">
  <sheetPr>
    <tabColor rgb="FFFF66FF"/>
  </sheetPr>
  <dimension ref="A1:AJ142"/>
  <sheetViews>
    <sheetView zoomScaleNormal="100" zoomScaleSheetLayoutView="100" workbookViewId="0">
      <selection activeCell="L8" sqref="L8"/>
    </sheetView>
  </sheetViews>
  <sheetFormatPr defaultRowHeight="14.4"/>
  <cols>
    <col min="1" max="1" width="4.44140625" customWidth="1"/>
    <col min="2" max="2" width="10.88671875" customWidth="1"/>
    <col min="3" max="3" width="58.5546875" customWidth="1"/>
    <col min="4" max="4" width="5.88671875" customWidth="1"/>
    <col min="5" max="5" width="6" customWidth="1"/>
    <col min="6" max="6" width="11.44140625" customWidth="1"/>
    <col min="7" max="7" width="15" customWidth="1"/>
    <col min="8" max="8" width="6.5546875" style="244" customWidth="1"/>
    <col min="9" max="9" width="8.88671875" customWidth="1"/>
    <col min="10" max="10" width="14" customWidth="1"/>
    <col min="15" max="15" width="10.5546875" customWidth="1"/>
    <col min="16" max="16" width="13.5546875" customWidth="1"/>
    <col min="17" max="17" width="16.109375" customWidth="1"/>
    <col min="18" max="18" width="8.5546875" customWidth="1"/>
    <col min="20" max="20" width="7.109375" customWidth="1"/>
    <col min="21" max="21" width="11.44140625" customWidth="1"/>
    <col min="22" max="22" width="13.5546875" customWidth="1"/>
    <col min="23" max="23" width="15.6640625" customWidth="1"/>
    <col min="24" max="24" width="14.109375" customWidth="1"/>
    <col min="25" max="25" width="14.88671875" customWidth="1"/>
  </cols>
  <sheetData>
    <row r="1" spans="1:17">
      <c r="A1" s="529" t="s">
        <v>597</v>
      </c>
      <c r="B1" s="530"/>
      <c r="C1" s="530"/>
    </row>
    <row r="2" spans="1:17">
      <c r="A2" s="1"/>
    </row>
    <row r="3" spans="1:17">
      <c r="A3" s="529" t="s">
        <v>168</v>
      </c>
      <c r="B3" s="530"/>
      <c r="C3" s="530"/>
      <c r="J3" t="str">
        <f>IF(AND(ISNUMBER(SEARCH("living",F3)),I3&gt;0),1,IF(AND(ISNUMBER(SEARCH("dining",F3)),I3&gt;0),1,IF(AND(ISNUMBER(SEARCH("bucatarie",F3)),I3&gt;0),1,IF(AND(ISNUMBER(SEARCH("dormitor",F3)),I3&gt;0),1,IF(AND(ISNUMBER(SEARCH("birou",F3)),I3&gt;0),1,IF(AND(ISNUMBER(SEARCH("baie",F3)),I3&gt;0),1,IF(AND(ISNUMBER(SEARCH("liv.+dining",F3)),I3&gt;0),1,IF(AND(ISNUMBER(SEARCH("camera",F3)),I3&gt;0),1,""))))))))</f>
        <v/>
      </c>
    </row>
    <row r="4" spans="1:17">
      <c r="A4" s="529" t="s">
        <v>176</v>
      </c>
      <c r="B4" s="530"/>
      <c r="C4" s="530"/>
    </row>
    <row r="5" spans="1:17">
      <c r="A5" s="529" t="s">
        <v>91</v>
      </c>
      <c r="B5" s="530"/>
      <c r="C5" s="530"/>
    </row>
    <row r="6" spans="1:17">
      <c r="A6" s="529" t="s">
        <v>82</v>
      </c>
      <c r="B6" s="530"/>
      <c r="C6" s="530"/>
    </row>
    <row r="7" spans="1:17">
      <c r="A7" s="529" t="s">
        <v>172</v>
      </c>
      <c r="B7" s="530"/>
      <c r="C7" s="530"/>
    </row>
    <row r="9" spans="1:17" ht="18.75" customHeight="1">
      <c r="A9" s="545" t="s">
        <v>0</v>
      </c>
      <c r="B9" s="545"/>
      <c r="C9" s="545"/>
      <c r="D9" s="545"/>
      <c r="E9" s="545"/>
      <c r="F9" s="545"/>
      <c r="G9" s="545"/>
      <c r="H9" s="246"/>
      <c r="I9" s="4"/>
      <c r="J9" s="5"/>
      <c r="K9" s="5"/>
      <c r="L9" s="5"/>
      <c r="M9" s="5"/>
      <c r="N9" s="5"/>
      <c r="O9" s="5"/>
      <c r="P9" s="5"/>
      <c r="Q9" s="5"/>
    </row>
    <row r="10" spans="1:17" ht="27.9" customHeight="1">
      <c r="A10" s="524" t="s">
        <v>215</v>
      </c>
      <c r="B10" s="524"/>
      <c r="C10" s="524"/>
      <c r="D10" s="524"/>
      <c r="E10" s="524"/>
      <c r="F10" s="524"/>
      <c r="G10" s="524"/>
      <c r="H10" s="246"/>
      <c r="I10" s="4"/>
      <c r="J10" s="5"/>
      <c r="K10" s="5"/>
      <c r="L10" s="5"/>
      <c r="M10" s="5"/>
      <c r="N10" s="5"/>
      <c r="O10" s="5"/>
      <c r="P10" s="5"/>
      <c r="Q10" s="5"/>
    </row>
    <row r="11" spans="1:17" ht="18.75" customHeight="1">
      <c r="A11" s="524" t="s">
        <v>219</v>
      </c>
      <c r="B11" s="528"/>
      <c r="C11" s="528"/>
      <c r="D11" s="205">
        <f>'Calcul SF,HB,HB+SF '!A24</f>
        <v>0</v>
      </c>
      <c r="E11" s="206" t="s">
        <v>217</v>
      </c>
      <c r="F11" s="4"/>
      <c r="G11" s="4"/>
      <c r="H11" s="246"/>
      <c r="I11" s="4"/>
      <c r="J11" s="5"/>
      <c r="K11" s="5"/>
      <c r="L11" s="5"/>
      <c r="M11" s="5"/>
      <c r="N11" s="5"/>
      <c r="O11" s="5"/>
      <c r="P11" s="5"/>
      <c r="Q11" s="5"/>
    </row>
    <row r="12" spans="1:17" ht="27.9" customHeight="1">
      <c r="A12" s="4"/>
      <c r="B12" s="4"/>
      <c r="C12" s="4"/>
      <c r="D12" s="4"/>
      <c r="E12" s="4"/>
      <c r="F12" s="4"/>
      <c r="G12" s="4"/>
      <c r="H12" s="246"/>
      <c r="I12" s="4"/>
      <c r="J12" s="5"/>
      <c r="K12" s="5"/>
      <c r="L12" s="5"/>
      <c r="M12" s="5"/>
      <c r="N12" s="5"/>
      <c r="O12" s="5"/>
      <c r="P12" s="5"/>
      <c r="Q12" s="5"/>
    </row>
    <row r="13" spans="1:17" ht="27.9" customHeight="1">
      <c r="A13" s="4"/>
      <c r="B13" s="4"/>
      <c r="C13" s="4"/>
      <c r="D13" s="4"/>
      <c r="E13" s="4"/>
      <c r="F13" s="4"/>
      <c r="G13" s="4"/>
      <c r="H13" s="246"/>
      <c r="I13" s="4"/>
      <c r="J13" s="5"/>
      <c r="K13" s="5"/>
      <c r="L13" s="5"/>
      <c r="M13" s="5"/>
      <c r="N13" s="5"/>
      <c r="O13" s="5"/>
      <c r="P13" s="5"/>
      <c r="Q13" s="5"/>
    </row>
    <row r="14" spans="1:17">
      <c r="A14" s="4"/>
      <c r="B14" s="4"/>
      <c r="C14" s="4"/>
      <c r="D14" s="4"/>
      <c r="E14" s="4"/>
      <c r="F14" s="4"/>
      <c r="G14" s="4"/>
      <c r="H14" s="246"/>
      <c r="I14" s="4"/>
      <c r="J14" s="5"/>
      <c r="K14" s="5"/>
      <c r="L14" s="5"/>
      <c r="M14" s="5"/>
      <c r="N14" s="5"/>
      <c r="O14" s="5"/>
      <c r="P14" s="5"/>
      <c r="Q14" s="5"/>
    </row>
    <row r="15" spans="1:17" ht="32.25" customHeight="1">
      <c r="A15" s="4"/>
      <c r="B15" s="4"/>
      <c r="C15" s="4"/>
      <c r="D15" s="4"/>
      <c r="E15" s="4"/>
      <c r="F15" s="4"/>
      <c r="G15" s="4"/>
      <c r="H15" s="246"/>
      <c r="I15" s="4"/>
      <c r="J15" s="5"/>
      <c r="K15" s="5"/>
      <c r="L15" s="5"/>
      <c r="M15" s="5"/>
      <c r="N15" s="5"/>
      <c r="O15" s="5"/>
      <c r="P15" s="5"/>
      <c r="Q15" s="5"/>
    </row>
    <row r="16" spans="1:17" ht="32.25" customHeight="1">
      <c r="A16" s="4"/>
      <c r="B16" s="4"/>
      <c r="C16" s="4"/>
      <c r="D16" s="4"/>
      <c r="E16" s="4"/>
      <c r="F16" s="4"/>
      <c r="G16" s="4"/>
      <c r="H16" s="246"/>
      <c r="I16" s="4"/>
      <c r="J16" s="5"/>
      <c r="K16" s="5"/>
      <c r="L16" s="5"/>
      <c r="M16" s="5"/>
      <c r="N16" s="5"/>
      <c r="O16" s="5"/>
      <c r="P16" s="5"/>
      <c r="Q16" s="5"/>
    </row>
    <row r="17" spans="1:17" ht="21" customHeight="1">
      <c r="A17" s="4"/>
      <c r="B17" s="4"/>
      <c r="C17" s="4"/>
      <c r="D17" s="4"/>
      <c r="E17" s="4"/>
      <c r="F17" s="4"/>
      <c r="G17" s="4"/>
      <c r="H17" s="246"/>
      <c r="I17" s="4"/>
      <c r="J17" s="5"/>
      <c r="K17" s="5"/>
      <c r="L17" s="5"/>
      <c r="M17" s="5"/>
      <c r="N17" s="5"/>
      <c r="O17" s="5"/>
      <c r="P17" s="5"/>
      <c r="Q17" s="5"/>
    </row>
    <row r="18" spans="1:17" ht="21.6" thickBot="1">
      <c r="A18" s="525" t="s">
        <v>140</v>
      </c>
      <c r="B18" s="526"/>
      <c r="C18" s="526"/>
      <c r="D18" s="526"/>
      <c r="E18" s="526"/>
      <c r="F18" s="526"/>
      <c r="G18" s="526"/>
      <c r="H18" s="247"/>
      <c r="I18" s="5"/>
      <c r="J18" s="5"/>
      <c r="K18" s="5"/>
      <c r="L18" s="5"/>
      <c r="M18" s="5"/>
      <c r="N18" s="5"/>
      <c r="O18" s="5"/>
      <c r="P18" s="5"/>
      <c r="Q18" s="5"/>
    </row>
    <row r="19" spans="1:17" ht="18.75" customHeight="1" thickTop="1">
      <c r="A19" s="6" t="s">
        <v>1</v>
      </c>
      <c r="B19" s="518" t="s">
        <v>3</v>
      </c>
      <c r="C19" s="518" t="s">
        <v>4</v>
      </c>
      <c r="D19" s="518" t="s">
        <v>5</v>
      </c>
      <c r="E19" s="518" t="s">
        <v>6</v>
      </c>
      <c r="F19" s="7" t="s">
        <v>7</v>
      </c>
      <c r="G19" s="8" t="s">
        <v>9</v>
      </c>
      <c r="H19" s="247"/>
      <c r="I19" s="5"/>
      <c r="J19" s="5"/>
      <c r="K19" s="5"/>
      <c r="L19" s="5"/>
      <c r="M19" s="5"/>
      <c r="N19" s="5"/>
      <c r="O19" s="5"/>
      <c r="P19" s="5"/>
      <c r="Q19" s="5"/>
    </row>
    <row r="20" spans="1:17" ht="26.25" customHeight="1" thickBot="1">
      <c r="A20" s="17" t="s">
        <v>2</v>
      </c>
      <c r="B20" s="527"/>
      <c r="C20" s="527"/>
      <c r="D20" s="527"/>
      <c r="E20" s="527"/>
      <c r="F20" s="18" t="s">
        <v>8</v>
      </c>
      <c r="G20" s="19" t="s">
        <v>8</v>
      </c>
      <c r="H20" s="247"/>
      <c r="I20" s="5"/>
      <c r="J20" s="5"/>
      <c r="K20" s="5"/>
      <c r="L20" s="5"/>
      <c r="M20" s="5"/>
      <c r="N20" s="5"/>
      <c r="O20" s="5"/>
      <c r="P20" s="5"/>
      <c r="Q20" s="5"/>
    </row>
    <row r="21" spans="1:17" ht="20.100000000000001" customHeight="1" thickTop="1" thickBot="1">
      <c r="A21" s="562" t="s">
        <v>220</v>
      </c>
      <c r="B21" s="563"/>
      <c r="C21" s="563"/>
      <c r="D21" s="563"/>
      <c r="E21" s="563"/>
      <c r="F21" s="563"/>
      <c r="G21" s="275"/>
      <c r="H21" s="252">
        <f>SUM(H22)</f>
        <v>0</v>
      </c>
      <c r="I21" s="5"/>
      <c r="J21" s="5"/>
      <c r="K21" s="5"/>
      <c r="L21" s="5"/>
      <c r="M21" s="5"/>
      <c r="N21" s="5"/>
      <c r="O21" s="5"/>
      <c r="P21" s="5"/>
      <c r="Q21" s="5"/>
    </row>
    <row r="22" spans="1:17" ht="27.9" customHeight="1" thickTop="1" thickBot="1">
      <c r="A22" s="276"/>
      <c r="B22" s="277" t="s">
        <v>10</v>
      </c>
      <c r="C22" s="278" t="s">
        <v>80</v>
      </c>
      <c r="D22" s="277" t="s">
        <v>13</v>
      </c>
      <c r="E22" s="279">
        <f>'Calcul SF,HB,HB+SF '!E24</f>
        <v>0</v>
      </c>
      <c r="F22" s="284">
        <v>174</v>
      </c>
      <c r="G22" s="166">
        <f>E22*F22</f>
        <v>0</v>
      </c>
      <c r="H22" s="248">
        <f>E22</f>
        <v>0</v>
      </c>
      <c r="I22" s="5"/>
      <c r="J22" s="5"/>
      <c r="K22" s="5"/>
      <c r="L22" s="5"/>
      <c r="M22" s="5"/>
      <c r="N22" s="5"/>
      <c r="O22" s="5"/>
      <c r="P22" s="5"/>
      <c r="Q22" s="5"/>
    </row>
    <row r="23" spans="1:17" ht="20.100000000000001" customHeight="1" thickTop="1" thickBot="1">
      <c r="A23" s="564" t="s">
        <v>16</v>
      </c>
      <c r="B23" s="565"/>
      <c r="C23" s="565"/>
      <c r="D23" s="565"/>
      <c r="E23" s="565"/>
      <c r="F23" s="565"/>
      <c r="G23" s="39"/>
      <c r="H23" s="248">
        <f>SUM(H24:H52)</f>
        <v>0</v>
      </c>
      <c r="I23" s="5"/>
      <c r="J23" s="5"/>
      <c r="K23" s="5"/>
      <c r="L23" s="5"/>
      <c r="M23" s="5" t="s">
        <v>85</v>
      </c>
      <c r="N23" s="5"/>
      <c r="O23" s="5"/>
      <c r="P23" s="5"/>
      <c r="Q23" s="5"/>
    </row>
    <row r="24" spans="1:17" ht="18" customHeight="1" thickTop="1" thickBot="1">
      <c r="A24" s="12"/>
      <c r="B24" s="2" t="s">
        <v>111</v>
      </c>
      <c r="C24" s="13" t="s">
        <v>161</v>
      </c>
      <c r="D24" s="3" t="s">
        <v>11</v>
      </c>
      <c r="E24" s="2"/>
      <c r="F24" s="285">
        <v>165</v>
      </c>
      <c r="G24" s="33">
        <f t="shared" ref="G24:G48" si="0">E24*F24</f>
        <v>0</v>
      </c>
      <c r="H24" s="248">
        <f t="shared" ref="H24:H48" si="1">E24</f>
        <v>0</v>
      </c>
      <c r="I24" s="5"/>
      <c r="J24" s="5"/>
      <c r="K24" s="5"/>
      <c r="L24" s="5"/>
      <c r="M24" s="5"/>
      <c r="N24" s="5"/>
      <c r="O24" s="5"/>
      <c r="P24" s="5"/>
      <c r="Q24" s="5"/>
    </row>
    <row r="25" spans="1:17" ht="18" customHeight="1" thickBot="1">
      <c r="A25" s="12"/>
      <c r="B25" s="2" t="s">
        <v>17</v>
      </c>
      <c r="C25" s="13" t="s">
        <v>18</v>
      </c>
      <c r="D25" s="3" t="s">
        <v>11</v>
      </c>
      <c r="E25" s="20">
        <f>IF('Calcul SF,HB,HB+SF '!$C$24&gt;=300,MIN(MOD('Calcul SF,HB,HB+SF '!$C$24,300)/100,INT('Calcul SF,HB,HB+SF '!$C$24/100)),IF('Calcul SF,HB,HB+SF '!$C$24&gt;=100,INT('Calcul SF,HB,HB+SF '!$C$24/100),0))</f>
        <v>0</v>
      </c>
      <c r="F25" s="286">
        <v>52</v>
      </c>
      <c r="G25" s="33">
        <f t="shared" si="0"/>
        <v>0</v>
      </c>
      <c r="H25" s="248">
        <f t="shared" si="1"/>
        <v>0</v>
      </c>
      <c r="I25" s="5"/>
      <c r="J25" s="5"/>
      <c r="K25" s="5"/>
      <c r="L25" s="5"/>
      <c r="M25" s="5"/>
      <c r="N25" s="5"/>
      <c r="O25" s="5"/>
      <c r="P25" s="5"/>
      <c r="Q25" s="5"/>
    </row>
    <row r="26" spans="1:17" ht="18" customHeight="1" thickBot="1">
      <c r="A26" s="12"/>
      <c r="B26" s="2" t="s">
        <v>19</v>
      </c>
      <c r="C26" s="13" t="s">
        <v>20</v>
      </c>
      <c r="D26" s="3" t="s">
        <v>11</v>
      </c>
      <c r="E26" s="20">
        <f>IF('Calcul SF,HB,HB+SF '!$C$24&gt;=300,INT('Calcul SF,HB,HB+SF '!$C$24/300),0)</f>
        <v>0</v>
      </c>
      <c r="F26" s="286">
        <v>153</v>
      </c>
      <c r="G26" s="33">
        <f t="shared" si="0"/>
        <v>0</v>
      </c>
      <c r="H26" s="248">
        <f t="shared" si="1"/>
        <v>0</v>
      </c>
      <c r="I26" s="5"/>
      <c r="J26" s="5"/>
      <c r="K26" s="5"/>
      <c r="L26" s="5"/>
      <c r="M26" s="5"/>
      <c r="N26" s="5"/>
      <c r="O26" s="5"/>
      <c r="P26" s="5"/>
      <c r="Q26" s="5"/>
    </row>
    <row r="27" spans="1:17" ht="50.1" customHeight="1" thickBot="1">
      <c r="A27" s="12"/>
      <c r="B27" s="2" t="s">
        <v>35</v>
      </c>
      <c r="C27" s="13" t="s">
        <v>118</v>
      </c>
      <c r="D27" s="2" t="s">
        <v>11</v>
      </c>
      <c r="E27" s="2">
        <f>IF(AND('Calcul SF,HB,HB+SF '!$J$24=2, 'Calcul SF,HB,HB+SF '!$U$24=2, 'Calcul SF,HB,HB+SF '!$AF$24=2), 3,
IF(OR(AND('Calcul SF,HB,HB+SF '!$J$24=2, 'Calcul SF,HB,HB+SF '!$U$24=2),
      AND('Calcul SF,HB,HB+SF '!$J$24=2, 'Calcul SF,HB,HB+SF '!$AF$24=2),
      AND('Calcul SF,HB,HB+SF '!$U$24=2, 'Calcul SF,HB,HB+SF '!$AF$24=2)), 2,
IF(OR('Calcul SF,HB,HB+SF '!$J$24=2, 'Calcul SF,HB,HB+SF '!$U$24=2, 'Calcul SF,HB,HB+SF '!$AF$24=2), 1, 0)))</f>
        <v>0</v>
      </c>
      <c r="F27" s="286">
        <v>104</v>
      </c>
      <c r="G27" s="33">
        <f t="shared" si="0"/>
        <v>0</v>
      </c>
      <c r="H27" s="248">
        <f t="shared" si="1"/>
        <v>0</v>
      </c>
      <c r="I27" s="5"/>
      <c r="J27" s="5"/>
      <c r="K27" s="5"/>
      <c r="L27" s="5"/>
      <c r="M27" s="5"/>
      <c r="N27" s="5"/>
      <c r="O27" s="5"/>
      <c r="P27" s="5"/>
      <c r="Q27" s="5"/>
    </row>
    <row r="28" spans="1:17" ht="50.1" customHeight="1" thickBot="1">
      <c r="A28" s="12"/>
      <c r="B28" s="2" t="s">
        <v>36</v>
      </c>
      <c r="C28" s="13" t="s">
        <v>119</v>
      </c>
      <c r="D28" s="2" t="s">
        <v>11</v>
      </c>
      <c r="E28" s="2">
        <f>IF(AND('Calcul SF,HB,HB+SF '!$J$24=3, 'Calcul SF,HB,HB+SF '!$U$24=3, 'Calcul SF,HB,HB+SF '!$AF$24=3), 3,
IF(OR(AND('Calcul SF,HB,HB+SF '!$J$24=3, 'Calcul SF,HB,HB+SF '!$U$24=3),
      AND('Calcul SF,HB,HB+SF '!$J$24=3, 'Calcul SF,HB,HB+SF '!$AF$24=3),
      AND('Calcul SF,HB,HB+SF '!$U$24=3, 'Calcul SF,HB,HB+SF '!$AF$24=3)), 2,
IF(OR('Calcul SF,HB,HB+SF '!$J$24=3, 'Calcul SF,HB,HB+SF '!$U$24=3, 'Calcul SF,HB,HB+SF '!$AF$24=3), 1, 0)))</f>
        <v>0</v>
      </c>
      <c r="F28" s="286">
        <v>120</v>
      </c>
      <c r="G28" s="33">
        <f t="shared" si="0"/>
        <v>0</v>
      </c>
      <c r="H28" s="248">
        <f t="shared" si="1"/>
        <v>0</v>
      </c>
      <c r="I28" s="5"/>
      <c r="J28" s="5"/>
      <c r="K28" s="5"/>
      <c r="L28" s="5"/>
      <c r="M28" s="5"/>
      <c r="N28" s="5"/>
      <c r="O28" s="5"/>
      <c r="P28" s="5"/>
      <c r="Q28" s="5"/>
    </row>
    <row r="29" spans="1:17" ht="50.1" customHeight="1" thickBot="1">
      <c r="A29" s="12"/>
      <c r="B29" s="2" t="s">
        <v>37</v>
      </c>
      <c r="C29" s="13" t="s">
        <v>120</v>
      </c>
      <c r="D29" s="2" t="s">
        <v>11</v>
      </c>
      <c r="E29" s="2">
        <f>IF(AND('Calcul SF,HB,HB+SF '!$J$24=4, 'Calcul SF,HB,HB+SF '!$U$24=4, 'Calcul SF,HB,HB+SF '!$AF$24=4), 3,
IF(OR(AND('Calcul SF,HB,HB+SF '!$J$24=4, 'Calcul SF,HB,HB+SF '!$U$24=4),
      AND('Calcul SF,HB,HB+SF '!$J$24=4, 'Calcul SF,HB,HB+SF '!$AF$24=4),
      AND('Calcul SF,HB,HB+SF '!$U$24=4, 'Calcul SF,HB,HB+SF '!$AF$24=4)), 2,
IF(OR('Calcul SF,HB,HB+SF '!$J$24=4, 'Calcul SF,HB,HB+SF '!$U$24=4, 'Calcul SF,HB,HB+SF '!$AF$24=4), 1, 0)))</f>
        <v>0</v>
      </c>
      <c r="F29" s="286">
        <v>136</v>
      </c>
      <c r="G29" s="33">
        <f t="shared" si="0"/>
        <v>0</v>
      </c>
      <c r="H29" s="248">
        <f t="shared" si="1"/>
        <v>0</v>
      </c>
      <c r="I29" s="5"/>
      <c r="J29" s="5"/>
      <c r="K29" s="5"/>
      <c r="L29" s="5"/>
      <c r="M29" s="5"/>
      <c r="N29" s="5"/>
      <c r="O29" s="5"/>
      <c r="P29" s="5"/>
      <c r="Q29" s="5"/>
    </row>
    <row r="30" spans="1:17" ht="50.1" customHeight="1" thickBot="1">
      <c r="A30" s="12"/>
      <c r="B30" s="2" t="s">
        <v>23</v>
      </c>
      <c r="C30" s="13" t="s">
        <v>121</v>
      </c>
      <c r="D30" s="2" t="s">
        <v>11</v>
      </c>
      <c r="E30" s="2">
        <f>IF(AND('Calcul SF,HB,HB+SF '!$J$24=5, 'Calcul SF,HB,HB+SF '!$U$24=5, 'Calcul SF,HB,HB+SF '!$AF$24=5), 3,
IF(OR(AND('Calcul SF,HB,HB+SF '!$J$24=5, 'Calcul SF,HB,HB+SF '!$U$24=5),
      AND('Calcul SF,HB,HB+SF '!$J$24=5, 'Calcul SF,HB,HB+SF '!$AF$24=5),
      AND('Calcul SF,HB,HB+SF '!$U$24=5, 'Calcul SF,HB,HB+SF '!$AF$24=5)), 2,
IF(OR('Calcul SF,HB,HB+SF '!$J$24=5, 'Calcul SF,HB,HB+SF '!$U$24=5, 'Calcul SF,HB,HB+SF '!$AF$24=5), 1, 0)))</f>
        <v>0</v>
      </c>
      <c r="F30" s="286">
        <v>151</v>
      </c>
      <c r="G30" s="33">
        <f t="shared" si="0"/>
        <v>0</v>
      </c>
      <c r="H30" s="248">
        <f t="shared" si="1"/>
        <v>0</v>
      </c>
      <c r="I30" s="5"/>
      <c r="J30" s="5"/>
      <c r="K30" s="5"/>
      <c r="L30" s="5"/>
      <c r="M30" s="5"/>
      <c r="N30" s="5"/>
      <c r="O30" s="5"/>
      <c r="P30" s="5"/>
      <c r="Q30" s="5"/>
    </row>
    <row r="31" spans="1:17" ht="50.1" customHeight="1" thickBot="1">
      <c r="A31" s="12"/>
      <c r="B31" s="2" t="s">
        <v>22</v>
      </c>
      <c r="C31" s="13" t="s">
        <v>303</v>
      </c>
      <c r="D31" s="2" t="s">
        <v>11</v>
      </c>
      <c r="E31" s="2">
        <f>IF(AND('Calcul SF,HB,HB+SF '!$J$24=6, 'Calcul SF,HB,HB+SF '!$U$24=6, 'Calcul SF,HB,HB+SF '!$AF$24=6), 3,
IF(OR(AND('Calcul SF,HB,HB+SF '!$J$24=6, 'Calcul SF,HB,HB+SF '!$U$24=6),
      AND('Calcul SF,HB,HB+SF '!$J$24=6, 'Calcul SF,HB,HB+SF '!$AF$24=6),
      AND('Calcul SF,HB,HB+SF '!$U$24=6, 'Calcul SF,HB,HB+SF '!$AF$24=6)), 2,
IF(OR('Calcul SF,HB,HB+SF '!$J$24=6, 'Calcul SF,HB,HB+SF '!$U$24=6, 'Calcul SF,HB,HB+SF '!$AF$24=6), 1, 0)))</f>
        <v>0</v>
      </c>
      <c r="F31" s="286">
        <v>168</v>
      </c>
      <c r="G31" s="33">
        <f t="shared" si="0"/>
        <v>0</v>
      </c>
      <c r="H31" s="248">
        <f t="shared" si="1"/>
        <v>0</v>
      </c>
      <c r="I31" s="5"/>
      <c r="J31" s="5"/>
      <c r="K31" s="5"/>
      <c r="L31" s="5"/>
      <c r="M31" s="5"/>
      <c r="N31" s="5"/>
      <c r="O31" s="5"/>
      <c r="P31" s="5"/>
      <c r="Q31" s="5"/>
    </row>
    <row r="32" spans="1:17" ht="50.1" customHeight="1" thickBot="1">
      <c r="A32" s="12"/>
      <c r="B32" s="2" t="s">
        <v>21</v>
      </c>
      <c r="C32" s="13" t="s">
        <v>304</v>
      </c>
      <c r="D32" s="2" t="s">
        <v>11</v>
      </c>
      <c r="E32" s="2">
        <f>IF(AND('Calcul SF,HB,HB+SF '!$J$24=7, 'Calcul SF,HB,HB+SF '!$U$24=7, 'Calcul SF,HB,HB+SF '!$AF$24=7), 3,
IF(OR(AND('Calcul SF,HB,HB+SF '!$J$24=7, 'Calcul SF,HB,HB+SF '!$U$24=7),
      AND('Calcul SF,HB,HB+SF '!$J$24=7, 'Calcul SF,HB,HB+SF '!$AF$24=7),
      AND('Calcul SF,HB,HB+SF '!$U$24=7, 'Calcul SF,HB,HB+SF '!$AF$24=7)), 2,
IF(OR('Calcul SF,HB,HB+SF '!$J$24=7, 'Calcul SF,HB,HB+SF '!$U$24=7, 'Calcul SF,HB,HB+SF '!$AF$24=7), 1, 0)))</f>
        <v>0</v>
      </c>
      <c r="F32" s="286">
        <v>184</v>
      </c>
      <c r="G32" s="33">
        <f t="shared" si="0"/>
        <v>0</v>
      </c>
      <c r="H32" s="248">
        <f t="shared" si="1"/>
        <v>0</v>
      </c>
      <c r="I32" s="5"/>
      <c r="J32" s="5"/>
      <c r="K32" s="5"/>
      <c r="L32" s="5"/>
      <c r="M32" s="5"/>
      <c r="N32" s="5"/>
      <c r="O32" s="5"/>
      <c r="P32" s="5"/>
      <c r="Q32" s="5"/>
    </row>
    <row r="33" spans="1:17" ht="50.1" customHeight="1" thickBot="1">
      <c r="A33" s="12"/>
      <c r="B33" s="2" t="s">
        <v>38</v>
      </c>
      <c r="C33" s="13" t="s">
        <v>167</v>
      </c>
      <c r="D33" s="2" t="s">
        <v>11</v>
      </c>
      <c r="E33" s="2">
        <f>IF(AND('Calcul SF,HB,HB+SF '!$J$24=8, 'Calcul SF,HB,HB+SF '!$U$24=8, 'Calcul SF,HB,HB+SF '!$AF$24=8), 3,
IF(OR(AND('Calcul SF,HB,HB+SF '!$J$24=8, 'Calcul SF,HB,HB+SF '!$U$24=8),
      AND('Calcul SF,HB,HB+SF '!$J$24=8, 'Calcul SF,HB,HB+SF '!$AF$24=8),
      AND('Calcul SF,HB,HB+SF '!$U$24=8, 'Calcul SF,HB,HB+SF '!$AF$24=8)), 2,
IF(OR('Calcul SF,HB,HB+SF '!$J$24=8, 'Calcul SF,HB,HB+SF '!$U$24=8, 'Calcul SF,HB,HB+SF '!$AF$24=8), 1, 0)))</f>
        <v>0</v>
      </c>
      <c r="F33" s="286">
        <v>200</v>
      </c>
      <c r="G33" s="33">
        <f t="shared" si="0"/>
        <v>0</v>
      </c>
      <c r="H33" s="248">
        <f t="shared" si="1"/>
        <v>0</v>
      </c>
      <c r="I33" s="5"/>
      <c r="J33" s="5"/>
      <c r="K33" s="5"/>
      <c r="L33" s="5"/>
      <c r="M33" s="5"/>
      <c r="N33" s="5"/>
      <c r="O33" s="5"/>
      <c r="P33" s="5"/>
      <c r="Q33" s="5"/>
    </row>
    <row r="34" spans="1:17" ht="50.1" customHeight="1" thickBot="1">
      <c r="A34" s="12"/>
      <c r="B34" s="2" t="s">
        <v>39</v>
      </c>
      <c r="C34" s="13" t="s">
        <v>173</v>
      </c>
      <c r="D34" s="2" t="s">
        <v>11</v>
      </c>
      <c r="E34" s="2">
        <f>IF(AND('Calcul SF,HB,HB+SF '!$J$24=9, 'Calcul SF,HB,HB+SF '!$U$24=9, 'Calcul SF,HB,HB+SF '!$AF$24=9), 3,
IF(OR(AND('Calcul SF,HB,HB+SF '!$J$24=9, 'Calcul SF,HB,HB+SF '!$U$24=9),
      AND('Calcul SF,HB,HB+SF '!$J$24=9, 'Calcul SF,HB,HB+SF '!$AF$24=9),
      AND('Calcul SF,HB,HB+SF '!$U$24=9, 'Calcul SF,HB,HB+SF '!$AF$24=9)), 2,
IF(OR('Calcul SF,HB,HB+SF '!$J$24=9, 'Calcul SF,HB,HB+SF '!$U$24=9, 'Calcul SF,HB,HB+SF '!$AF$24=9), 1, 0)))</f>
        <v>0</v>
      </c>
      <c r="F34" s="286">
        <v>215</v>
      </c>
      <c r="G34" s="33">
        <f t="shared" si="0"/>
        <v>0</v>
      </c>
      <c r="H34" s="248">
        <f t="shared" si="1"/>
        <v>0</v>
      </c>
      <c r="I34" s="5"/>
      <c r="J34" s="5"/>
      <c r="K34" s="5"/>
      <c r="L34" s="5"/>
      <c r="M34" s="5"/>
      <c r="N34" s="5"/>
      <c r="O34" s="5"/>
      <c r="P34" s="5"/>
      <c r="Q34" s="5"/>
    </row>
    <row r="35" spans="1:17" ht="50.1" customHeight="1" thickBot="1">
      <c r="A35" s="12"/>
      <c r="B35" s="2" t="s">
        <v>40</v>
      </c>
      <c r="C35" s="13" t="s">
        <v>122</v>
      </c>
      <c r="D35" s="2" t="s">
        <v>11</v>
      </c>
      <c r="E35" s="2">
        <f>IF(AND('Calcul SF,HB,HB+SF '!$J$24=10, 'Calcul SF,HB,HB+SF '!$U$24=10, 'Calcul SF,HB,HB+SF '!$AF$24=10), 3,
IF(OR(AND('Calcul SF,HB,HB+SF '!$J$24=10, 'Calcul SF,HB,HB+SF '!$U$24=10),
      AND('Calcul SF,HB,HB+SF '!$J$24=10, 'Calcul SF,HB,HB+SF '!$AF$24=10),
      AND('Calcul SF,HB,HB+SF '!$U$24=10, 'Calcul SF,HB,HB+SF '!$AF$24=10)), 2,
IF(OR('Calcul SF,HB,HB+SF '!$J$24=10, 'Calcul SF,HB,HB+SF '!$U$24=10, 'Calcul SF,HB,HB+SF '!$AF$24=10), 1, 0)))</f>
        <v>0</v>
      </c>
      <c r="F35" s="286">
        <v>233</v>
      </c>
      <c r="G35" s="33">
        <f t="shared" si="0"/>
        <v>0</v>
      </c>
      <c r="H35" s="248">
        <f t="shared" si="1"/>
        <v>0</v>
      </c>
      <c r="I35" s="5"/>
      <c r="J35" s="5"/>
      <c r="K35" s="5"/>
      <c r="L35" s="5"/>
      <c r="M35" s="5"/>
      <c r="N35" s="5"/>
      <c r="O35" s="5"/>
      <c r="P35" s="5"/>
      <c r="Q35" s="5"/>
    </row>
    <row r="36" spans="1:17" ht="50.1" customHeight="1" thickBot="1">
      <c r="A36" s="12"/>
      <c r="B36" s="2" t="s">
        <v>41</v>
      </c>
      <c r="C36" s="13" t="s">
        <v>123</v>
      </c>
      <c r="D36" s="2" t="s">
        <v>11</v>
      </c>
      <c r="E36" s="2">
        <f>IF(AND('Calcul SF,HB,HB+SF '!$J$24=11, 'Calcul SF,HB,HB+SF '!$U$24=11, 'Calcul SF,HB,HB+SF '!$AF$24=11), 3,
IF(OR(AND('Calcul SF,HB,HB+SF '!$J$24=11, 'Calcul SF,HB,HB+SF '!$U$24=11),
      AND('Calcul SF,HB,HB+SF '!$J$24=11, 'Calcul SF,HB,HB+SF '!$AF$24=11),
      AND('Calcul SF,HB,HB+SF '!$U$24=11, 'Calcul SF,HB,HB+SF '!$AF$24=11)), 2,
IF(OR('Calcul SF,HB,HB+SF '!$J$24=11, 'Calcul SF,HB,HB+SF '!$U$24=11, 'Calcul SF,HB,HB+SF '!$AF$24=11), 1, 0)))</f>
        <v>0</v>
      </c>
      <c r="F36" s="286">
        <v>247</v>
      </c>
      <c r="G36" s="33">
        <f t="shared" si="0"/>
        <v>0</v>
      </c>
      <c r="H36" s="248">
        <f t="shared" si="1"/>
        <v>0</v>
      </c>
      <c r="I36" s="5"/>
      <c r="J36" s="5"/>
      <c r="K36" s="5"/>
      <c r="L36" s="5"/>
      <c r="M36" s="5"/>
      <c r="N36" s="5"/>
      <c r="O36" s="5"/>
      <c r="P36" s="5"/>
      <c r="Q36" s="5"/>
    </row>
    <row r="37" spans="1:17" ht="50.1" customHeight="1" thickBot="1">
      <c r="A37" s="12"/>
      <c r="B37" s="2" t="s">
        <v>42</v>
      </c>
      <c r="C37" s="13" t="s">
        <v>124</v>
      </c>
      <c r="D37" s="2" t="s">
        <v>11</v>
      </c>
      <c r="E37" s="2">
        <f>IF(AND('Calcul SF,HB,HB+SF '!$J$24=12, 'Calcul SF,HB,HB+SF '!$U$24=12, 'Calcul SF,HB,HB+SF '!$AF$24=12), 3,
IF(OR(AND('Calcul SF,HB,HB+SF '!$J$24=12, 'Calcul SF,HB,HB+SF '!$U$24=12),
      AND('Calcul SF,HB,HB+SF '!$J$24=12, 'Calcul SF,HB,HB+SF '!$AF$24=12),
      AND('Calcul SF,HB,HB+SF '!$U$24=12, 'Calcul SF,HB,HB+SF '!$AF$24=12)), 2,
IF(OR('Calcul SF,HB,HB+SF '!$J$24=12, 'Calcul SF,HB,HB+SF '!$U$24=12, 'Calcul SF,HB,HB+SF '!$AF$24=12), 1, 0)))</f>
        <v>0</v>
      </c>
      <c r="F37" s="286">
        <v>265</v>
      </c>
      <c r="G37" s="33">
        <f t="shared" si="0"/>
        <v>0</v>
      </c>
      <c r="H37" s="248">
        <f t="shared" si="1"/>
        <v>0</v>
      </c>
      <c r="I37" s="5"/>
      <c r="J37" s="5"/>
      <c r="K37" s="5"/>
      <c r="L37" s="5"/>
      <c r="M37" s="5"/>
      <c r="N37" s="5"/>
      <c r="O37" s="5"/>
      <c r="P37" s="5"/>
      <c r="Q37" s="5"/>
    </row>
    <row r="38" spans="1:17" ht="50.1" customHeight="1" thickBot="1">
      <c r="A38" s="12"/>
      <c r="B38" s="2" t="s">
        <v>43</v>
      </c>
      <c r="C38" s="13" t="s">
        <v>125</v>
      </c>
      <c r="D38" s="2" t="s">
        <v>11</v>
      </c>
      <c r="E38" s="2">
        <f>IF(AND('Calcul SF,HB,HB+SF '!$J$24=13, 'Calcul SF,HB,HB+SF '!$U$24=13, 'Calcul SF,HB,HB+SF '!$AF$24=13), 3,
IF(OR(AND('Calcul SF,HB,HB+SF '!$J$24=13, 'Calcul SF,HB,HB+SF '!$U$24=13),
      AND('Calcul SF,HB,HB+SF '!$J$24=13, 'Calcul SF,HB,HB+SF '!$AF$24=13),
      AND('Calcul SF,HB,HB+SF '!$U$24=13, 'Calcul SF,HB,HB+SF '!$AF$24=13)), 2,
IF(OR('Calcul SF,HB,HB+SF '!$J$24=13, 'Calcul SF,HB,HB+SF '!$U$24=13, 'Calcul SF,HB,HB+SF '!$AF$24=13), 1, 0)))</f>
        <v>0</v>
      </c>
      <c r="F38" s="286">
        <v>283</v>
      </c>
      <c r="G38" s="33">
        <f t="shared" si="0"/>
        <v>0</v>
      </c>
      <c r="H38" s="248">
        <f t="shared" si="1"/>
        <v>0</v>
      </c>
      <c r="I38" s="5"/>
      <c r="J38" s="5"/>
      <c r="K38" s="5"/>
      <c r="L38" s="5"/>
      <c r="M38" s="5"/>
      <c r="N38" s="5"/>
      <c r="O38" s="5"/>
      <c r="P38" s="5"/>
      <c r="Q38" s="5"/>
    </row>
    <row r="39" spans="1:17" ht="50.1" customHeight="1" thickBot="1">
      <c r="A39" s="12"/>
      <c r="B39" s="2" t="s">
        <v>44</v>
      </c>
      <c r="C39" s="13" t="s">
        <v>126</v>
      </c>
      <c r="D39" s="2" t="s">
        <v>11</v>
      </c>
      <c r="E39" s="2">
        <f>IF(AND('Calcul SF,HB,HB+SF '!$J$24=14, 'Calcul SF,HB,HB+SF '!$U$24=14, 'Calcul SF,HB,HB+SF '!$AF$24=14), 3,
IF(OR(AND('Calcul SF,HB,HB+SF '!$J$24=14, 'Calcul SF,HB,HB+SF '!$U$24=14),
      AND('Calcul SF,HB,HB+SF '!$J$24=14, 'Calcul SF,HB,HB+SF '!$AF$24=14),
      AND('Calcul SF,HB,HB+SF '!$U$24=14, 'Calcul SF,HB,HB+SF '!$AF$24=14)), 2,
IF(OR('Calcul SF,HB,HB+SF '!$J$24=14, 'Calcul SF,HB,HB+SF '!$U$24=14, 'Calcul SF,HB,HB+SF '!$AF$24=14), 1, 0)))</f>
        <v>0</v>
      </c>
      <c r="F39" s="286">
        <v>298</v>
      </c>
      <c r="G39" s="33">
        <f t="shared" si="0"/>
        <v>0</v>
      </c>
      <c r="H39" s="248">
        <f t="shared" si="1"/>
        <v>0</v>
      </c>
      <c r="I39" s="5"/>
      <c r="J39" s="5"/>
      <c r="K39" s="5"/>
      <c r="L39" s="5"/>
      <c r="M39" s="5"/>
      <c r="N39" s="5"/>
      <c r="O39" s="5"/>
      <c r="P39" s="5"/>
      <c r="Q39" s="5"/>
    </row>
    <row r="40" spans="1:17" ht="50.1" customHeight="1" thickBot="1">
      <c r="A40" s="12"/>
      <c r="B40" s="2" t="s">
        <v>45</v>
      </c>
      <c r="C40" s="13" t="s">
        <v>127</v>
      </c>
      <c r="D40" s="2" t="s">
        <v>11</v>
      </c>
      <c r="E40" s="2">
        <f>IF(AND('Calcul SF,HB,HB+SF '!$J$24=15, 'Calcul SF,HB,HB+SF '!$U$24=15, 'Calcul SF,HB,HB+SF '!$AF$24=15), 3,
IF(OR(AND('Calcul SF,HB,HB+SF '!$J$24=15, 'Calcul SF,HB,HB+SF '!$U$24=15),
      AND('Calcul SF,HB,HB+SF '!$J$24=15, 'Calcul SF,HB,HB+SF '!$AF$24=15),
      AND('Calcul SF,HB,HB+SF '!$U$24=15, 'Calcul SF,HB,HB+SF '!$AF$24=15)), 2,
IF(OR('Calcul SF,HB,HB+SF '!$J$24=15, 'Calcul SF,HB,HB+SF '!$U$24=15, 'Calcul SF,HB,HB+SF '!$AF$24=15), 1, 0)))</f>
        <v>0</v>
      </c>
      <c r="F40" s="286">
        <v>314</v>
      </c>
      <c r="G40" s="33">
        <f t="shared" si="0"/>
        <v>0</v>
      </c>
      <c r="H40" s="248">
        <f t="shared" si="1"/>
        <v>0</v>
      </c>
      <c r="I40" s="5"/>
      <c r="J40" s="5"/>
      <c r="K40" s="5"/>
      <c r="L40" s="5"/>
      <c r="M40" s="5"/>
      <c r="N40" s="5"/>
      <c r="O40" s="5"/>
      <c r="P40" s="5"/>
      <c r="Q40" s="5"/>
    </row>
    <row r="41" spans="1:17" ht="18" customHeight="1" thickBot="1">
      <c r="A41" s="326"/>
      <c r="B41" s="327" t="s">
        <v>129</v>
      </c>
      <c r="C41" s="328" t="s">
        <v>420</v>
      </c>
      <c r="D41" s="327" t="s">
        <v>11</v>
      </c>
      <c r="E41" s="327"/>
      <c r="F41" s="338">
        <v>54</v>
      </c>
      <c r="G41" s="329">
        <f t="shared" si="0"/>
        <v>0</v>
      </c>
      <c r="H41" s="330">
        <f t="shared" si="1"/>
        <v>0</v>
      </c>
      <c r="I41" s="331"/>
      <c r="J41" s="5"/>
      <c r="K41" s="5"/>
      <c r="L41" s="5"/>
      <c r="M41" s="5"/>
      <c r="N41" s="5"/>
      <c r="O41" s="5"/>
      <c r="P41" s="5"/>
      <c r="Q41" s="5"/>
    </row>
    <row r="42" spans="1:17" ht="18" customHeight="1" thickBot="1">
      <c r="A42" s="326"/>
      <c r="B42" s="327" t="s">
        <v>418</v>
      </c>
      <c r="C42" s="328" t="s">
        <v>419</v>
      </c>
      <c r="D42" s="327" t="s">
        <v>11</v>
      </c>
      <c r="E42" s="327"/>
      <c r="F42" s="338">
        <v>58</v>
      </c>
      <c r="G42" s="329">
        <f t="shared" si="0"/>
        <v>0</v>
      </c>
      <c r="H42" s="330">
        <f t="shared" si="1"/>
        <v>0</v>
      </c>
      <c r="I42" s="331"/>
      <c r="J42" s="5"/>
      <c r="K42" s="5"/>
      <c r="L42" s="5"/>
      <c r="M42" s="5"/>
      <c r="N42" s="5"/>
      <c r="O42" s="5"/>
      <c r="P42" s="5"/>
      <c r="Q42" s="5"/>
    </row>
    <row r="43" spans="1:17" ht="18" customHeight="1" thickBot="1">
      <c r="A43" s="12"/>
      <c r="B43" s="260" t="s">
        <v>421</v>
      </c>
      <c r="C43" s="332" t="s">
        <v>422</v>
      </c>
      <c r="D43" s="2" t="s">
        <v>11</v>
      </c>
      <c r="E43" s="297">
        <f>--OR('Calcul SF,HB,HB+SF '!$J$24=2,'Calcul SF,HB,HB+SF '!$J$24=3)
 +--OR('Calcul SF,HB,HB+SF '!$U$24=2,'Calcul SF,HB,HB+SF '!$U$24=3)
 +--OR('Calcul SF,HB,HB+SF '!$AF$24=2,'Calcul SF,HB,HB+SF '!$AF$24=3)</f>
        <v>0</v>
      </c>
      <c r="F43" s="286">
        <v>76</v>
      </c>
      <c r="G43" s="33">
        <f t="shared" si="0"/>
        <v>0</v>
      </c>
      <c r="H43" s="248">
        <f t="shared" si="1"/>
        <v>0</v>
      </c>
      <c r="I43" s="5"/>
      <c r="J43" s="5"/>
      <c r="K43" s="5"/>
      <c r="L43" s="5"/>
      <c r="M43" s="5"/>
      <c r="N43" s="5"/>
      <c r="O43" s="5"/>
      <c r="P43" s="5"/>
      <c r="Q43" s="5"/>
    </row>
    <row r="44" spans="1:17" ht="18" customHeight="1" thickBot="1">
      <c r="A44" s="334"/>
      <c r="B44" s="260" t="s">
        <v>412</v>
      </c>
      <c r="C44" s="332" t="s">
        <v>423</v>
      </c>
      <c r="D44" s="260" t="s">
        <v>11</v>
      </c>
      <c r="E44" s="333" cm="1">
        <f t="array" ref="E44">--OR('Calcul SF,HB,HB+SF '!$J$24={4,5,6,7})
 +--OR('Calcul SF,HB,HB+SF '!$U$24={4,5,6,7})
 +--OR('Calcul SF,HB,HB+SF '!$AF$24={4,5,6,7})</f>
        <v>0</v>
      </c>
      <c r="F44" s="339">
        <v>82</v>
      </c>
      <c r="G44" s="335">
        <f t="shared" si="0"/>
        <v>0</v>
      </c>
      <c r="H44" s="330">
        <f t="shared" si="1"/>
        <v>0</v>
      </c>
      <c r="I44" s="331"/>
      <c r="J44" s="5"/>
      <c r="K44" s="5"/>
      <c r="L44" s="5"/>
      <c r="M44" s="5"/>
      <c r="N44" s="5"/>
      <c r="O44" s="5"/>
      <c r="P44" s="5"/>
      <c r="Q44" s="5"/>
    </row>
    <row r="45" spans="1:17" ht="18" customHeight="1" thickBot="1">
      <c r="A45" s="334"/>
      <c r="B45" s="260" t="s">
        <v>130</v>
      </c>
      <c r="C45" s="332" t="s">
        <v>424</v>
      </c>
      <c r="D45" s="260" t="s">
        <v>11</v>
      </c>
      <c r="E45" s="333" cm="1">
        <f t="array" ref="E45">--OR('Calcul SF,HB,HB+SF '!$J$24={8,9,10,11})
 +--OR('Calcul SF,HB,HB+SF '!$U$24={8,9,10,11})
 +--OR('Calcul SF,HB,HB+SF '!$AF$24={8,9,10,11})</f>
        <v>0</v>
      </c>
      <c r="F45" s="339">
        <v>96</v>
      </c>
      <c r="G45" s="335">
        <f t="shared" si="0"/>
        <v>0</v>
      </c>
      <c r="H45" s="330">
        <f t="shared" si="1"/>
        <v>0</v>
      </c>
      <c r="I45" s="331"/>
      <c r="J45" s="5"/>
      <c r="K45" s="5"/>
      <c r="L45" s="5"/>
      <c r="M45" s="5"/>
      <c r="N45" s="5"/>
      <c r="O45" s="5"/>
      <c r="P45" s="5"/>
      <c r="Q45" s="5"/>
    </row>
    <row r="46" spans="1:17" ht="18" customHeight="1" thickBot="1">
      <c r="A46" s="334"/>
      <c r="B46" s="260" t="s">
        <v>131</v>
      </c>
      <c r="C46" s="332" t="s">
        <v>425</v>
      </c>
      <c r="D46" s="260" t="s">
        <v>11</v>
      </c>
      <c r="E46" s="333" cm="1">
        <f t="array" ref="E46">--OR('Calcul SF,HB,HB+SF '!$J$24={12,13})
 +--OR('Calcul SF,HB,HB+SF '!$U$24={12,13})
 +--OR('Calcul SF,HB,HB+SF '!$AF$24={12,13})</f>
        <v>0</v>
      </c>
      <c r="F46" s="339">
        <v>102</v>
      </c>
      <c r="G46" s="335">
        <f t="shared" si="0"/>
        <v>0</v>
      </c>
      <c r="H46" s="330">
        <f t="shared" si="1"/>
        <v>0</v>
      </c>
      <c r="I46" s="331"/>
      <c r="J46" s="5"/>
      <c r="K46" s="5"/>
      <c r="L46" s="5"/>
      <c r="M46" s="5"/>
      <c r="N46" s="5"/>
      <c r="O46" s="5"/>
      <c r="P46" s="5"/>
      <c r="Q46" s="5"/>
    </row>
    <row r="47" spans="1:17" ht="18" customHeight="1" thickBot="1">
      <c r="A47" s="334"/>
      <c r="B47" s="260" t="s">
        <v>325</v>
      </c>
      <c r="C47" s="332" t="s">
        <v>426</v>
      </c>
      <c r="D47" s="260" t="s">
        <v>11</v>
      </c>
      <c r="E47" s="333" cm="1">
        <f t="array" ref="E47">--OR('Calcul SF,HB,HB+SF '!$J$24={14,15})
 +--OR('Calcul SF,HB,HB+SF '!$U$24={14,15})
 +--OR('Calcul SF,HB,HB+SF '!$AF$24={14,15})</f>
        <v>0</v>
      </c>
      <c r="F47" s="339">
        <v>120</v>
      </c>
      <c r="G47" s="335">
        <f t="shared" si="0"/>
        <v>0</v>
      </c>
      <c r="H47" s="330">
        <f t="shared" si="1"/>
        <v>0</v>
      </c>
      <c r="I47" s="331"/>
      <c r="J47" s="5"/>
      <c r="K47" s="5"/>
      <c r="L47" s="5"/>
      <c r="M47" s="5"/>
      <c r="N47" s="5"/>
      <c r="O47" s="5"/>
      <c r="P47" s="5"/>
      <c r="Q47" s="5"/>
    </row>
    <row r="48" spans="1:17" ht="18" customHeight="1" thickBot="1">
      <c r="A48" s="12"/>
      <c r="B48" s="2" t="s">
        <v>24</v>
      </c>
      <c r="C48" s="13" t="s">
        <v>137</v>
      </c>
      <c r="D48" s="2" t="s">
        <v>13</v>
      </c>
      <c r="E48" s="2">
        <f>'Calcul SF,HB,HB+SF '!I24</f>
        <v>0</v>
      </c>
      <c r="F48" s="286">
        <v>4</v>
      </c>
      <c r="G48" s="33">
        <f t="shared" si="0"/>
        <v>0</v>
      </c>
      <c r="H48" s="248">
        <f t="shared" si="1"/>
        <v>0</v>
      </c>
      <c r="I48" s="5"/>
      <c r="J48" s="5"/>
      <c r="K48" s="5"/>
      <c r="L48" s="5"/>
      <c r="M48" s="5"/>
      <c r="N48" s="5"/>
      <c r="O48" s="5"/>
      <c r="P48" s="5"/>
      <c r="Q48" s="5"/>
    </row>
    <row r="49" spans="1:17" ht="18" customHeight="1" thickBot="1">
      <c r="A49" s="12"/>
      <c r="B49" s="2">
        <v>91201</v>
      </c>
      <c r="C49" s="13" t="s">
        <v>90</v>
      </c>
      <c r="D49" s="2" t="s">
        <v>13</v>
      </c>
      <c r="E49" s="2"/>
      <c r="F49" s="286">
        <v>21</v>
      </c>
      <c r="G49" s="33">
        <f>E49*F49</f>
        <v>0</v>
      </c>
      <c r="H49" s="248">
        <f>E49</f>
        <v>0</v>
      </c>
      <c r="I49" s="5"/>
      <c r="J49" s="5"/>
      <c r="K49" s="5"/>
      <c r="L49" s="5"/>
      <c r="M49" s="5"/>
      <c r="N49" s="5"/>
      <c r="O49" s="5"/>
      <c r="P49" s="5"/>
      <c r="Q49" s="5"/>
    </row>
    <row r="50" spans="1:17" ht="18" customHeight="1" thickBot="1">
      <c r="A50" s="12"/>
      <c r="B50" s="2">
        <v>91202</v>
      </c>
      <c r="C50" s="13" t="s">
        <v>180</v>
      </c>
      <c r="D50" s="2" t="s">
        <v>13</v>
      </c>
      <c r="E50" s="2"/>
      <c r="F50" s="286">
        <v>32</v>
      </c>
      <c r="G50" s="33">
        <f>E50*F50</f>
        <v>0</v>
      </c>
      <c r="H50" s="248">
        <f>E50</f>
        <v>0</v>
      </c>
      <c r="I50" s="5"/>
      <c r="J50" s="5"/>
      <c r="K50" s="5"/>
      <c r="L50" s="5"/>
      <c r="M50" s="5"/>
      <c r="N50" s="5"/>
      <c r="O50" s="5"/>
      <c r="P50" s="5"/>
      <c r="Q50" s="5"/>
    </row>
    <row r="51" spans="1:17" ht="27.9" customHeight="1" thickBot="1">
      <c r="A51" s="12"/>
      <c r="B51" s="2">
        <v>91203</v>
      </c>
      <c r="C51" s="13" t="s">
        <v>181</v>
      </c>
      <c r="D51" s="2" t="s">
        <v>13</v>
      </c>
      <c r="E51" s="2"/>
      <c r="F51" s="286">
        <v>49</v>
      </c>
      <c r="G51" s="33">
        <f>E51*F51</f>
        <v>0</v>
      </c>
      <c r="H51" s="248">
        <f>E51</f>
        <v>0</v>
      </c>
      <c r="I51" s="5"/>
      <c r="J51" s="5"/>
      <c r="K51" s="5"/>
      <c r="L51" s="5"/>
      <c r="M51" s="5"/>
      <c r="N51" s="5"/>
      <c r="O51" s="5"/>
      <c r="P51" s="5"/>
      <c r="Q51" s="5"/>
    </row>
    <row r="52" spans="1:17" ht="27.9" customHeight="1" thickBot="1">
      <c r="A52" s="12"/>
      <c r="B52" s="2" t="s">
        <v>128</v>
      </c>
      <c r="C52" s="13" t="s">
        <v>427</v>
      </c>
      <c r="D52" s="2" t="s">
        <v>11</v>
      </c>
      <c r="E52" s="135">
        <f>IF(AND('Calcul SF,HB,HB+SF '!$J$24&gt;0, 'Calcul SF,HB,HB+SF '!$U$24&gt;0, 'Calcul SF,HB,HB+SF '!$AF$24&gt;0), 3,
    IF(OR(AND('Calcul SF,HB,HB+SF '!$J$24&gt;0, 'Calcul SF,HB,HB+SF '!$U$24&gt;0),
          AND('Calcul SF,HB,HB+SF '!$J$24&gt;0, 'Calcul SF,HB,HB+SF '!$AF$24&gt;0),
          AND('Calcul SF,HB,HB+SF '!$U$24&gt;0, 'Calcul SF,HB,HB+SF '!$AF$24&gt;0)), 2,
    IF(OR('Calcul SF,HB,HB+SF '!$J$24&gt;0, 'Calcul SF,HB,HB+SF '!$U$24&gt;0, 'Calcul SF,HB,HB+SF '!$AF$24&gt;0), 1, 0)))</f>
        <v>0</v>
      </c>
      <c r="F52" s="286">
        <v>342</v>
      </c>
      <c r="G52" s="33">
        <f>E52*F52</f>
        <v>0</v>
      </c>
      <c r="H52" s="248">
        <f>E52</f>
        <v>0</v>
      </c>
      <c r="I52" s="5"/>
      <c r="J52" s="5"/>
      <c r="K52" s="5"/>
      <c r="L52" s="5"/>
      <c r="M52" s="5"/>
      <c r="N52" s="5"/>
      <c r="O52" s="5"/>
      <c r="P52" s="5"/>
      <c r="Q52" s="5"/>
    </row>
    <row r="53" spans="1:17" ht="18" customHeight="1" thickBot="1">
      <c r="A53" s="566" t="s">
        <v>25</v>
      </c>
      <c r="B53" s="567"/>
      <c r="C53" s="567"/>
      <c r="D53" s="567"/>
      <c r="E53" s="34"/>
      <c r="F53" s="18"/>
      <c r="G53" s="41">
        <f>SUM(G21:G52)</f>
        <v>0</v>
      </c>
      <c r="H53" s="249">
        <f>G53</f>
        <v>0</v>
      </c>
      <c r="I53" s="5"/>
      <c r="J53" s="5"/>
      <c r="K53" s="5"/>
      <c r="L53" s="5"/>
      <c r="M53" s="5"/>
      <c r="N53" s="5"/>
      <c r="O53" s="5"/>
      <c r="P53" s="5"/>
      <c r="Q53" s="5"/>
    </row>
    <row r="54" spans="1:17" ht="18" customHeight="1" thickTop="1" thickBot="1">
      <c r="A54" s="522" t="s">
        <v>156</v>
      </c>
      <c r="B54" s="539"/>
      <c r="C54" s="539"/>
      <c r="D54" s="539"/>
      <c r="E54" s="47">
        <v>0.05</v>
      </c>
      <c r="F54" s="43"/>
      <c r="G54" s="48">
        <f>G53*(1-E54)</f>
        <v>0</v>
      </c>
      <c r="H54" s="249">
        <f>G54</f>
        <v>0</v>
      </c>
      <c r="I54" s="5"/>
      <c r="J54" s="5"/>
      <c r="K54" s="5"/>
      <c r="L54" s="5"/>
      <c r="M54" s="5"/>
      <c r="N54" s="5"/>
      <c r="O54" s="5"/>
      <c r="P54" s="5"/>
      <c r="Q54" s="5"/>
    </row>
    <row r="55" spans="1:17" ht="18" customHeight="1" thickTop="1" thickBot="1">
      <c r="A55" s="522" t="s">
        <v>143</v>
      </c>
      <c r="B55" s="540"/>
      <c r="C55" s="540"/>
      <c r="D55" s="540"/>
      <c r="E55" s="42"/>
      <c r="F55" s="43"/>
      <c r="G55" s="48">
        <f>G54*1.21</f>
        <v>0</v>
      </c>
      <c r="H55" s="249">
        <f>G55</f>
        <v>0</v>
      </c>
      <c r="I55" s="5"/>
      <c r="J55" s="5"/>
      <c r="K55" s="5"/>
      <c r="L55" s="5"/>
      <c r="M55" s="5"/>
      <c r="N55" s="5"/>
      <c r="O55" s="5"/>
      <c r="P55" s="5"/>
      <c r="Q55" s="5"/>
    </row>
    <row r="56" spans="1:17" ht="16.5" customHeight="1" thickTop="1">
      <c r="A56" s="14"/>
      <c r="B56" s="15"/>
      <c r="C56" s="15"/>
      <c r="D56" s="15"/>
      <c r="E56" s="15"/>
      <c r="F56" s="15"/>
      <c r="G56" s="15"/>
      <c r="H56" s="250"/>
      <c r="I56" s="5"/>
      <c r="J56" s="5"/>
      <c r="K56" s="5"/>
      <c r="L56" s="5" t="s">
        <v>184</v>
      </c>
      <c r="M56" s="5"/>
      <c r="N56" s="5"/>
      <c r="O56" s="5"/>
      <c r="P56" s="5"/>
      <c r="Q56" s="5"/>
    </row>
    <row r="57" spans="1:17" ht="16.5" customHeight="1">
      <c r="A57" s="14"/>
      <c r="B57" s="15"/>
      <c r="C57" s="15"/>
      <c r="D57" s="15"/>
      <c r="E57" s="15"/>
      <c r="F57" s="15"/>
      <c r="G57" s="15"/>
      <c r="H57" s="250"/>
      <c r="I57" s="5"/>
      <c r="J57" s="5"/>
      <c r="K57" s="5"/>
      <c r="L57" s="5"/>
      <c r="M57" s="5"/>
      <c r="N57" s="5"/>
      <c r="O57" s="5"/>
      <c r="P57" s="5"/>
      <c r="Q57" s="5"/>
    </row>
    <row r="58" spans="1:17" ht="16.5" customHeight="1">
      <c r="A58" s="14"/>
      <c r="B58" s="15"/>
      <c r="C58" s="15"/>
      <c r="D58" s="15"/>
      <c r="E58" s="15"/>
      <c r="F58" s="15"/>
      <c r="G58" s="15"/>
      <c r="H58" s="250"/>
      <c r="I58" s="5"/>
      <c r="J58" s="5"/>
      <c r="K58" s="5"/>
      <c r="L58" s="5"/>
      <c r="M58" s="5"/>
      <c r="N58" s="5"/>
      <c r="O58" s="5"/>
      <c r="P58" s="5"/>
      <c r="Q58" s="5"/>
    </row>
    <row r="59" spans="1:17" ht="14.25" customHeight="1">
      <c r="A59" s="14"/>
      <c r="B59" s="15"/>
      <c r="C59" s="15"/>
      <c r="D59" s="15"/>
      <c r="E59" s="15"/>
      <c r="F59" s="15"/>
      <c r="G59" s="15"/>
      <c r="H59" s="250" t="s">
        <v>83</v>
      </c>
      <c r="I59" s="5"/>
      <c r="J59" s="5"/>
      <c r="K59" s="5"/>
      <c r="L59" s="5"/>
      <c r="M59" s="5"/>
      <c r="N59" s="5"/>
      <c r="O59" s="5"/>
      <c r="P59" s="5"/>
      <c r="Q59" s="5"/>
    </row>
    <row r="60" spans="1:17" ht="14.25" customHeight="1">
      <c r="A60" s="14"/>
      <c r="B60" s="15"/>
      <c r="C60" s="15"/>
      <c r="D60" s="15"/>
      <c r="E60" s="15"/>
      <c r="F60" s="15"/>
      <c r="G60" s="15"/>
      <c r="H60" s="250"/>
      <c r="I60" s="5"/>
      <c r="J60" s="5"/>
      <c r="K60" s="5"/>
      <c r="L60" s="5"/>
      <c r="M60" s="5"/>
      <c r="N60" s="5"/>
      <c r="O60" s="5"/>
      <c r="P60" s="5"/>
      <c r="Q60" s="5"/>
    </row>
    <row r="61" spans="1:17" ht="14.25" customHeight="1">
      <c r="A61" s="14"/>
      <c r="B61" s="15"/>
      <c r="C61" s="15"/>
      <c r="D61" s="15"/>
      <c r="E61" s="15"/>
      <c r="F61" s="15"/>
      <c r="G61" s="15"/>
      <c r="H61" s="250"/>
      <c r="I61" s="5"/>
      <c r="J61" s="5"/>
      <c r="K61" s="5"/>
      <c r="L61" s="5"/>
      <c r="M61" s="5"/>
      <c r="N61" s="5"/>
      <c r="O61" s="5"/>
      <c r="P61" s="5"/>
      <c r="Q61" s="5"/>
    </row>
    <row r="62" spans="1:17" ht="14.25" customHeight="1">
      <c r="A62" s="14"/>
      <c r="B62" s="15"/>
      <c r="C62" s="15"/>
      <c r="D62" s="15"/>
      <c r="E62" s="15"/>
      <c r="F62" s="15"/>
      <c r="G62" s="15"/>
      <c r="H62" s="250"/>
      <c r="I62" s="5"/>
      <c r="J62" s="5"/>
      <c r="K62" s="5"/>
      <c r="L62" s="5"/>
      <c r="M62" s="5"/>
      <c r="N62" s="5"/>
      <c r="O62" s="5"/>
      <c r="P62" s="5"/>
      <c r="Q62" s="5"/>
    </row>
    <row r="63" spans="1:17" ht="18.75" customHeight="1">
      <c r="A63" s="541" t="s">
        <v>287</v>
      </c>
      <c r="B63" s="541"/>
      <c r="C63" s="541"/>
      <c r="D63" s="541"/>
      <c r="E63" s="541"/>
      <c r="F63" s="541"/>
      <c r="G63" s="541"/>
      <c r="H63" s="250">
        <f>SUM(H71:H102)</f>
        <v>0</v>
      </c>
      <c r="I63" s="5"/>
      <c r="J63" s="5"/>
      <c r="K63" s="5"/>
      <c r="L63" s="5"/>
      <c r="M63" s="5"/>
      <c r="N63" s="5"/>
      <c r="O63" s="5"/>
      <c r="P63" s="5"/>
      <c r="Q63" s="5"/>
    </row>
    <row r="64" spans="1:17" ht="17.25" customHeight="1">
      <c r="A64" s="72"/>
      <c r="B64" s="72"/>
      <c r="C64" s="72"/>
      <c r="D64" s="72"/>
      <c r="E64" s="72"/>
      <c r="F64" s="72"/>
      <c r="G64" s="72"/>
      <c r="H64" s="250"/>
      <c r="I64" s="5"/>
      <c r="J64" s="5"/>
      <c r="K64" s="5"/>
      <c r="L64" s="5"/>
      <c r="M64" s="5"/>
      <c r="N64" s="5"/>
      <c r="O64" s="5"/>
      <c r="P64" s="5"/>
      <c r="Q64" s="5"/>
    </row>
    <row r="65" spans="1:24" ht="18" customHeight="1">
      <c r="A65" s="533" t="s">
        <v>26</v>
      </c>
      <c r="B65" s="533"/>
      <c r="C65" s="533"/>
      <c r="D65" s="533"/>
      <c r="E65" s="533"/>
      <c r="F65" s="533"/>
      <c r="G65" s="533"/>
      <c r="H65" s="250">
        <f>G82</f>
        <v>0</v>
      </c>
      <c r="I65" s="5"/>
      <c r="J65" s="5"/>
      <c r="K65" s="5"/>
      <c r="L65" s="5"/>
      <c r="M65" s="5"/>
      <c r="N65" s="5"/>
      <c r="O65" s="5"/>
      <c r="P65" s="5"/>
      <c r="Q65" s="5"/>
    </row>
    <row r="66" spans="1:24">
      <c r="A66" s="544"/>
      <c r="B66" s="544"/>
      <c r="C66" s="544"/>
      <c r="D66" s="544"/>
      <c r="E66" s="544"/>
      <c r="F66" s="544"/>
      <c r="G66" s="544"/>
      <c r="H66" s="249">
        <f>G82</f>
        <v>0</v>
      </c>
      <c r="I66" s="5"/>
      <c r="J66" s="5"/>
      <c r="K66" s="5"/>
      <c r="L66" s="5"/>
      <c r="M66" s="5"/>
      <c r="N66" s="5"/>
      <c r="O66" s="5"/>
      <c r="P66" s="5"/>
      <c r="Q66" s="5"/>
    </row>
    <row r="67" spans="1:24" ht="11.25" customHeight="1" thickBot="1">
      <c r="A67" s="16"/>
      <c r="B67" s="15"/>
      <c r="C67" s="15"/>
      <c r="D67" s="15"/>
      <c r="E67" s="15"/>
      <c r="F67" s="15"/>
      <c r="G67" s="15"/>
      <c r="H67" s="249">
        <f>G82</f>
        <v>0</v>
      </c>
      <c r="I67" s="5"/>
      <c r="J67" s="5"/>
      <c r="K67" s="5"/>
      <c r="L67" s="5"/>
      <c r="M67" s="5"/>
      <c r="N67" s="5"/>
      <c r="O67" s="5"/>
      <c r="P67" s="5"/>
      <c r="Q67" s="5"/>
    </row>
    <row r="68" spans="1:24" ht="18.75" customHeight="1" thickTop="1">
      <c r="A68" s="6" t="s">
        <v>1</v>
      </c>
      <c r="B68" s="518" t="s">
        <v>3</v>
      </c>
      <c r="C68" s="518" t="s">
        <v>4</v>
      </c>
      <c r="D68" s="518" t="s">
        <v>5</v>
      </c>
      <c r="E68" s="518" t="s">
        <v>6</v>
      </c>
      <c r="F68" s="7" t="s">
        <v>7</v>
      </c>
      <c r="G68" s="8" t="s">
        <v>9</v>
      </c>
      <c r="H68" s="249">
        <f>G82</f>
        <v>0</v>
      </c>
      <c r="I68" s="5"/>
      <c r="J68" s="5"/>
      <c r="K68" s="5"/>
      <c r="L68" s="5"/>
      <c r="M68" s="5"/>
      <c r="N68" s="5"/>
      <c r="O68" s="5"/>
      <c r="P68" s="5"/>
      <c r="Q68" s="5"/>
    </row>
    <row r="69" spans="1:24" ht="24" customHeight="1" thickBot="1">
      <c r="A69" s="17" t="s">
        <v>2</v>
      </c>
      <c r="B69" s="527"/>
      <c r="C69" s="527"/>
      <c r="D69" s="527"/>
      <c r="E69" s="527"/>
      <c r="F69" s="18" t="s">
        <v>8</v>
      </c>
      <c r="G69" s="19" t="s">
        <v>8</v>
      </c>
      <c r="H69" s="249">
        <f>G82</f>
        <v>0</v>
      </c>
      <c r="I69" s="5"/>
      <c r="J69" s="5"/>
      <c r="K69" s="5"/>
      <c r="L69" s="5"/>
      <c r="M69" s="5"/>
      <c r="N69" s="5"/>
      <c r="O69" s="5"/>
      <c r="P69" s="5"/>
      <c r="Q69" s="5"/>
    </row>
    <row r="70" spans="1:24" ht="18.75" customHeight="1" thickTop="1" thickBot="1">
      <c r="A70" s="531" t="s">
        <v>27</v>
      </c>
      <c r="B70" s="532"/>
      <c r="C70" s="532"/>
      <c r="D70" s="264"/>
      <c r="E70" s="264"/>
      <c r="F70" s="264"/>
      <c r="G70" s="8"/>
      <c r="H70" s="248">
        <f>SUM(H71:H73)</f>
        <v>0</v>
      </c>
      <c r="I70" s="5"/>
      <c r="J70" s="5"/>
      <c r="K70" s="5"/>
      <c r="L70" s="5"/>
      <c r="M70" s="5"/>
      <c r="N70" s="5"/>
      <c r="O70" s="5"/>
      <c r="P70" s="5"/>
      <c r="Q70" s="5"/>
      <c r="S70" s="5"/>
      <c r="T70" s="5"/>
      <c r="U70" s="5"/>
      <c r="V70" s="5"/>
      <c r="W70" s="5"/>
      <c r="X70" s="5"/>
    </row>
    <row r="71" spans="1:24" ht="27.9" customHeight="1" thickTop="1" thickBot="1">
      <c r="A71" s="266"/>
      <c r="B71" s="267" t="s">
        <v>28</v>
      </c>
      <c r="C71" s="269" t="s">
        <v>182</v>
      </c>
      <c r="D71" s="267" t="s">
        <v>11</v>
      </c>
      <c r="E71" s="267">
        <f>'Calcul SF,HB,HB+SF '!K22</f>
        <v>0</v>
      </c>
      <c r="F71" s="287">
        <v>179</v>
      </c>
      <c r="G71" s="270">
        <f>E71*F71</f>
        <v>0</v>
      </c>
      <c r="H71" s="248">
        <f>E71</f>
        <v>0</v>
      </c>
      <c r="I71" s="5"/>
      <c r="J71" s="5"/>
      <c r="K71" s="5"/>
      <c r="L71" s="5"/>
      <c r="M71" s="5"/>
      <c r="N71" s="5"/>
      <c r="O71" s="5"/>
      <c r="P71" s="5"/>
      <c r="Q71" s="5"/>
    </row>
    <row r="72" spans="1:24" ht="18.75" customHeight="1" thickBot="1">
      <c r="A72" s="12"/>
      <c r="B72" s="3" t="s">
        <v>29</v>
      </c>
      <c r="C72" s="13" t="s">
        <v>30</v>
      </c>
      <c r="D72" s="3" t="s">
        <v>11</v>
      </c>
      <c r="E72" s="3">
        <f>'Calcul SF,HB,HB+SF '!H24</f>
        <v>0</v>
      </c>
      <c r="F72" s="286">
        <v>17</v>
      </c>
      <c r="G72" s="33">
        <f t="shared" ref="G72:G77" si="2">E72*F72</f>
        <v>0</v>
      </c>
      <c r="H72" s="248">
        <f t="shared" ref="H72:H77" si="3">E72</f>
        <v>0</v>
      </c>
      <c r="I72" s="5"/>
      <c r="J72" s="5"/>
      <c r="K72" s="5"/>
      <c r="L72" s="5"/>
      <c r="M72" s="5"/>
      <c r="N72" s="5"/>
      <c r="O72" s="5"/>
      <c r="P72" s="5"/>
      <c r="Q72" s="5"/>
    </row>
    <row r="73" spans="1:24" ht="18.75" customHeight="1" thickBot="1">
      <c r="A73" s="161"/>
      <c r="B73" s="162" t="s">
        <v>31</v>
      </c>
      <c r="C73" s="163" t="s">
        <v>183</v>
      </c>
      <c r="D73" s="162" t="s">
        <v>11</v>
      </c>
      <c r="E73" s="162">
        <f>IF(OR('Calcul SF,HB,HB+SF '!J22=0),0,'Calcul SF,HB,HB+SF '!J22-1)</f>
        <v>0</v>
      </c>
      <c r="F73" s="288">
        <v>41</v>
      </c>
      <c r="G73" s="164">
        <f t="shared" si="2"/>
        <v>0</v>
      </c>
      <c r="H73" s="248">
        <f t="shared" si="3"/>
        <v>0</v>
      </c>
      <c r="I73" s="5"/>
      <c r="J73" s="5"/>
      <c r="K73" s="5"/>
      <c r="L73" s="5"/>
      <c r="M73" s="5"/>
      <c r="N73" s="5"/>
      <c r="O73" s="5"/>
      <c r="P73" s="5"/>
      <c r="Q73" s="5"/>
    </row>
    <row r="74" spans="1:24" ht="18.75" customHeight="1" thickTop="1" thickBot="1">
      <c r="A74" s="550" t="s">
        <v>326</v>
      </c>
      <c r="B74" s="544"/>
      <c r="C74" s="544"/>
      <c r="D74" s="14"/>
      <c r="E74" s="14"/>
      <c r="F74" s="14"/>
      <c r="G74" s="38"/>
      <c r="H74" s="248">
        <f>SUM(H75:H77)</f>
        <v>0</v>
      </c>
      <c r="I74" s="5"/>
      <c r="J74" s="5"/>
      <c r="K74" s="5"/>
      <c r="L74" s="5"/>
      <c r="M74" s="5"/>
      <c r="N74" s="5"/>
      <c r="O74" s="5"/>
      <c r="P74" s="5"/>
      <c r="Q74" s="5"/>
    </row>
    <row r="75" spans="1:24" ht="27.9" customHeight="1" thickTop="1" thickBot="1">
      <c r="A75" s="266"/>
      <c r="B75" s="267" t="s">
        <v>28</v>
      </c>
      <c r="C75" s="269" t="s">
        <v>182</v>
      </c>
      <c r="D75" s="267" t="s">
        <v>11</v>
      </c>
      <c r="E75" s="267">
        <f>'Calcul SF,HB,HB+SF '!V22</f>
        <v>0</v>
      </c>
      <c r="F75" s="287">
        <v>179</v>
      </c>
      <c r="G75" s="270">
        <f t="shared" si="2"/>
        <v>0</v>
      </c>
      <c r="H75" s="248">
        <f t="shared" si="3"/>
        <v>0</v>
      </c>
      <c r="I75" s="5"/>
      <c r="J75" s="5"/>
      <c r="K75" s="5"/>
      <c r="L75" s="5"/>
      <c r="M75" s="5"/>
      <c r="N75" s="5"/>
      <c r="O75" s="5"/>
      <c r="P75" s="5"/>
      <c r="Q75" s="5"/>
    </row>
    <row r="76" spans="1:24" ht="18.75" customHeight="1" thickBot="1">
      <c r="A76" s="12"/>
      <c r="B76" s="3" t="s">
        <v>29</v>
      </c>
      <c r="C76" s="13" t="s">
        <v>30</v>
      </c>
      <c r="D76" s="3" t="s">
        <v>11</v>
      </c>
      <c r="E76" s="3">
        <f>'Calcul SF,HB,HB+SF '!S24</f>
        <v>0</v>
      </c>
      <c r="F76" s="286">
        <v>17</v>
      </c>
      <c r="G76" s="33">
        <f t="shared" si="2"/>
        <v>0</v>
      </c>
      <c r="H76" s="248">
        <f t="shared" si="3"/>
        <v>0</v>
      </c>
      <c r="I76" s="5"/>
      <c r="J76" s="5"/>
      <c r="K76" s="5"/>
      <c r="L76" s="5"/>
      <c r="M76" s="5"/>
      <c r="N76" s="5"/>
      <c r="O76" s="5"/>
      <c r="P76" s="5"/>
      <c r="Q76" s="5"/>
    </row>
    <row r="77" spans="1:24" ht="18.75" customHeight="1" thickBot="1">
      <c r="A77" s="161"/>
      <c r="B77" s="162" t="s">
        <v>31</v>
      </c>
      <c r="C77" s="163" t="s">
        <v>183</v>
      </c>
      <c r="D77" s="162" t="s">
        <v>11</v>
      </c>
      <c r="E77" s="162">
        <f>IF(OR('Calcul SF,HB,HB+SF '!U22=0),0,'Calcul SF,HB,HB+SF '!U22-1)</f>
        <v>0</v>
      </c>
      <c r="F77" s="288">
        <v>41</v>
      </c>
      <c r="G77" s="164">
        <f t="shared" si="2"/>
        <v>0</v>
      </c>
      <c r="H77" s="248">
        <f t="shared" si="3"/>
        <v>0</v>
      </c>
      <c r="I77" s="5"/>
      <c r="J77" s="5"/>
      <c r="K77" s="5"/>
      <c r="L77" s="5"/>
      <c r="M77" s="5"/>
      <c r="N77" s="5"/>
      <c r="O77" s="5"/>
      <c r="P77" s="5"/>
      <c r="Q77" s="5"/>
    </row>
    <row r="78" spans="1:24" ht="18.75" customHeight="1" thickTop="1" thickBot="1">
      <c r="A78" s="550" t="s">
        <v>32</v>
      </c>
      <c r="B78" s="544"/>
      <c r="C78" s="544"/>
      <c r="D78" s="14"/>
      <c r="E78" s="14"/>
      <c r="F78" s="14"/>
      <c r="G78" s="38"/>
      <c r="H78" s="248">
        <f>SUM(H79:H81)</f>
        <v>0</v>
      </c>
      <c r="I78" s="5"/>
      <c r="J78" s="5"/>
      <c r="K78" s="5"/>
      <c r="L78" s="5"/>
      <c r="M78" s="5"/>
      <c r="N78" s="5"/>
      <c r="O78" s="5"/>
      <c r="P78" s="5"/>
      <c r="Q78" s="5"/>
    </row>
    <row r="79" spans="1:24" ht="25.5" customHeight="1" thickTop="1" thickBot="1">
      <c r="A79" s="266"/>
      <c r="B79" s="267" t="s">
        <v>28</v>
      </c>
      <c r="C79" s="269" t="s">
        <v>182</v>
      </c>
      <c r="D79" s="267" t="s">
        <v>11</v>
      </c>
      <c r="E79" s="267">
        <f>'Calcul SF,HB,HB+SF '!AE22</f>
        <v>0</v>
      </c>
      <c r="F79" s="287">
        <v>179</v>
      </c>
      <c r="G79" s="270">
        <f>E79*F79</f>
        <v>0</v>
      </c>
      <c r="H79" s="248">
        <f>E79</f>
        <v>0</v>
      </c>
      <c r="I79" s="5"/>
      <c r="J79" s="5"/>
      <c r="K79" s="5"/>
      <c r="L79" s="5"/>
      <c r="M79" s="5"/>
      <c r="N79" s="5"/>
      <c r="O79" s="5"/>
      <c r="P79" s="5"/>
      <c r="Q79" s="5"/>
    </row>
    <row r="80" spans="1:24" ht="18.75" customHeight="1" thickBot="1">
      <c r="A80" s="12"/>
      <c r="B80" s="3" t="s">
        <v>29</v>
      </c>
      <c r="C80" s="13" t="s">
        <v>30</v>
      </c>
      <c r="D80" s="3" t="s">
        <v>11</v>
      </c>
      <c r="E80" s="3">
        <f>'Calcul SF,HB,HB+SF '!AD24</f>
        <v>0</v>
      </c>
      <c r="F80" s="286">
        <v>17</v>
      </c>
      <c r="G80" s="33">
        <f>E80*F80</f>
        <v>0</v>
      </c>
      <c r="H80" s="248">
        <f>E80</f>
        <v>0</v>
      </c>
      <c r="I80" s="5"/>
      <c r="J80" s="5"/>
      <c r="K80" s="5"/>
      <c r="L80" s="5"/>
      <c r="M80" s="5"/>
      <c r="N80" s="5"/>
      <c r="O80" s="5"/>
      <c r="P80" s="5"/>
      <c r="Q80" s="5"/>
    </row>
    <row r="81" spans="1:17" ht="18.75" customHeight="1" thickBot="1">
      <c r="A81" s="161"/>
      <c r="B81" s="162" t="s">
        <v>31</v>
      </c>
      <c r="C81" s="163" t="s">
        <v>183</v>
      </c>
      <c r="D81" s="162" t="s">
        <v>11</v>
      </c>
      <c r="E81" s="162">
        <f>IF(OR('Calcul SF,HB,HB+SF '!AF22=0),0,'Calcul SF,HB,HB+SF '!AF22-1)</f>
        <v>0</v>
      </c>
      <c r="F81" s="288">
        <v>41</v>
      </c>
      <c r="G81" s="164">
        <f>E81*F81</f>
        <v>0</v>
      </c>
      <c r="H81" s="248">
        <f>E81</f>
        <v>0</v>
      </c>
      <c r="I81" s="5"/>
      <c r="J81" s="5"/>
      <c r="K81" s="5"/>
      <c r="L81" s="5"/>
      <c r="M81" s="5"/>
      <c r="N81" s="5"/>
      <c r="O81" s="5"/>
      <c r="P81" s="5"/>
      <c r="Q81" s="5"/>
    </row>
    <row r="82" spans="1:17" ht="18.75" customHeight="1" thickTop="1" thickBot="1">
      <c r="A82" s="537" t="s">
        <v>25</v>
      </c>
      <c r="B82" s="546"/>
      <c r="C82" s="546"/>
      <c r="D82" s="546"/>
      <c r="E82" s="546"/>
      <c r="F82" s="546"/>
      <c r="G82" s="268">
        <f>SUM(G71:G81)</f>
        <v>0</v>
      </c>
      <c r="H82" s="251">
        <f>G82</f>
        <v>0</v>
      </c>
      <c r="I82" s="5"/>
      <c r="J82" s="5"/>
      <c r="K82" s="5"/>
      <c r="L82" s="5"/>
      <c r="M82" s="5"/>
      <c r="N82" s="5"/>
      <c r="O82" s="5"/>
      <c r="P82" s="5"/>
      <c r="Q82" s="5"/>
    </row>
    <row r="83" spans="1:17" ht="18.75" customHeight="1" thickTop="1" thickBot="1">
      <c r="A83" s="522" t="s">
        <v>157</v>
      </c>
      <c r="B83" s="523"/>
      <c r="C83" s="523"/>
      <c r="D83" s="523"/>
      <c r="E83" s="47">
        <v>0.05</v>
      </c>
      <c r="F83" s="42"/>
      <c r="G83" s="97">
        <f>G82*(1-E83)</f>
        <v>0</v>
      </c>
      <c r="H83" s="251">
        <f>G83</f>
        <v>0</v>
      </c>
      <c r="I83" s="5"/>
      <c r="J83" s="5"/>
      <c r="K83" s="5"/>
      <c r="L83" s="5"/>
      <c r="M83" s="5"/>
      <c r="N83" s="5"/>
      <c r="O83" s="5"/>
      <c r="P83" s="5"/>
      <c r="Q83" s="5"/>
    </row>
    <row r="84" spans="1:17" ht="18.75" customHeight="1" thickTop="1" thickBot="1">
      <c r="A84" s="547" t="s">
        <v>143</v>
      </c>
      <c r="B84" s="548"/>
      <c r="C84" s="548"/>
      <c r="D84" s="548"/>
      <c r="E84" s="548"/>
      <c r="F84" s="548"/>
      <c r="G84" s="99">
        <f>G83*1.21</f>
        <v>0</v>
      </c>
      <c r="H84" s="251">
        <f>G84</f>
        <v>0</v>
      </c>
      <c r="I84" s="5"/>
      <c r="J84" s="5"/>
      <c r="K84" s="5"/>
      <c r="L84" s="5"/>
      <c r="M84" s="5"/>
      <c r="N84" s="5"/>
      <c r="O84" s="5"/>
      <c r="P84" s="5"/>
      <c r="Q84" s="5"/>
    </row>
    <row r="85" spans="1:17" ht="18.75" customHeight="1" thickTop="1">
      <c r="A85" s="14"/>
      <c r="B85" s="15"/>
      <c r="C85" s="15"/>
      <c r="D85" s="15"/>
      <c r="E85" s="15"/>
      <c r="F85" s="15"/>
      <c r="G85" s="15"/>
      <c r="H85" s="251">
        <f>G103</f>
        <v>0</v>
      </c>
      <c r="I85" s="5"/>
      <c r="J85" s="5"/>
      <c r="K85" s="5"/>
      <c r="L85" s="5"/>
      <c r="M85" s="5"/>
      <c r="N85" s="5"/>
      <c r="O85" s="5"/>
      <c r="P85" s="5"/>
      <c r="Q85" s="5"/>
    </row>
    <row r="86" spans="1:17" ht="18" customHeight="1">
      <c r="A86" s="549" t="s">
        <v>381</v>
      </c>
      <c r="B86" s="549"/>
      <c r="C86" s="549"/>
      <c r="D86" s="549"/>
      <c r="E86" s="549"/>
      <c r="F86" s="549"/>
      <c r="G86" s="549"/>
      <c r="H86" s="251">
        <f>G103</f>
        <v>0</v>
      </c>
      <c r="I86" s="5"/>
      <c r="J86" s="5"/>
      <c r="K86" s="5"/>
      <c r="L86" s="5"/>
      <c r="M86" s="5"/>
      <c r="N86" s="5"/>
      <c r="O86" s="5"/>
      <c r="P86" s="5"/>
      <c r="Q86" s="5"/>
    </row>
    <row r="87" spans="1:17" ht="15.9" customHeight="1">
      <c r="A87" s="544"/>
      <c r="B87" s="544"/>
      <c r="C87" s="544"/>
      <c r="D87" s="544"/>
      <c r="E87" s="544"/>
      <c r="F87" s="544"/>
      <c r="G87" s="544"/>
      <c r="H87" s="251">
        <f>G103</f>
        <v>0</v>
      </c>
      <c r="I87" s="5"/>
      <c r="J87" s="5"/>
      <c r="K87" s="5"/>
      <c r="L87" s="5"/>
      <c r="M87" s="5"/>
      <c r="N87" s="5"/>
      <c r="O87" s="5"/>
      <c r="P87" s="5"/>
      <c r="Q87" s="5"/>
    </row>
    <row r="88" spans="1:17" ht="15.75" customHeight="1" thickBot="1">
      <c r="A88" s="16"/>
      <c r="B88" s="15"/>
      <c r="C88" s="15"/>
      <c r="D88" s="15"/>
      <c r="E88" s="15"/>
      <c r="F88" s="15"/>
      <c r="G88" s="15"/>
      <c r="H88" s="251">
        <f>G103</f>
        <v>0</v>
      </c>
      <c r="I88" s="5"/>
      <c r="J88" s="5"/>
      <c r="K88" s="5"/>
      <c r="L88" s="5"/>
      <c r="M88" s="5"/>
      <c r="N88" s="5"/>
      <c r="O88" s="5"/>
      <c r="P88" s="5"/>
      <c r="Q88" s="5"/>
    </row>
    <row r="89" spans="1:17" ht="18" customHeight="1" thickTop="1">
      <c r="A89" s="6" t="s">
        <v>1</v>
      </c>
      <c r="B89" s="518" t="s">
        <v>3</v>
      </c>
      <c r="C89" s="518" t="s">
        <v>4</v>
      </c>
      <c r="D89" s="518" t="s">
        <v>5</v>
      </c>
      <c r="E89" s="518" t="s">
        <v>6</v>
      </c>
      <c r="F89" s="7" t="s">
        <v>7</v>
      </c>
      <c r="G89" s="8" t="s">
        <v>9</v>
      </c>
      <c r="H89" s="251">
        <f>G103</f>
        <v>0</v>
      </c>
      <c r="I89" s="5"/>
      <c r="J89" s="5"/>
      <c r="K89" s="5"/>
      <c r="L89" s="5"/>
      <c r="M89" s="5"/>
      <c r="N89" s="5"/>
      <c r="O89" s="5"/>
      <c r="P89" s="5"/>
      <c r="Q89" s="5"/>
    </row>
    <row r="90" spans="1:17" ht="24" customHeight="1" thickBot="1">
      <c r="A90" s="17" t="s">
        <v>2</v>
      </c>
      <c r="B90" s="527"/>
      <c r="C90" s="527"/>
      <c r="D90" s="527"/>
      <c r="E90" s="527"/>
      <c r="F90" s="18" t="s">
        <v>8</v>
      </c>
      <c r="G90" s="19" t="s">
        <v>8</v>
      </c>
      <c r="H90" s="251">
        <f>G103</f>
        <v>0</v>
      </c>
      <c r="I90" s="5"/>
      <c r="J90" s="5"/>
      <c r="K90" s="5"/>
      <c r="L90" s="5"/>
      <c r="M90" s="5"/>
      <c r="N90" s="5"/>
      <c r="O90" s="5"/>
      <c r="P90" s="5"/>
      <c r="Q90" s="5"/>
    </row>
    <row r="91" spans="1:17" ht="18" customHeight="1" thickTop="1" thickBot="1">
      <c r="A91" s="531" t="s">
        <v>27</v>
      </c>
      <c r="B91" s="569"/>
      <c r="C91" s="569"/>
      <c r="D91" s="264"/>
      <c r="E91" s="264"/>
      <c r="F91" s="264"/>
      <c r="G91" s="8"/>
      <c r="H91" s="248">
        <f>SUM(H92:H94)</f>
        <v>0</v>
      </c>
      <c r="I91" s="5"/>
      <c r="J91" s="5"/>
      <c r="K91" s="5"/>
      <c r="L91" s="255"/>
      <c r="M91" s="5"/>
      <c r="N91" s="5"/>
      <c r="O91" s="5"/>
      <c r="P91" s="5"/>
      <c r="Q91" s="5"/>
    </row>
    <row r="92" spans="1:17" ht="27.9" customHeight="1" thickTop="1" thickBot="1">
      <c r="A92" s="266"/>
      <c r="B92" s="267" t="s">
        <v>376</v>
      </c>
      <c r="C92" s="269" t="s">
        <v>379</v>
      </c>
      <c r="D92" s="267" t="s">
        <v>11</v>
      </c>
      <c r="E92" s="267">
        <f>'Calcul SF,HB,HB+SF '!K22</f>
        <v>0</v>
      </c>
      <c r="F92" s="287">
        <v>229</v>
      </c>
      <c r="G92" s="270">
        <f>E92*F92</f>
        <v>0</v>
      </c>
      <c r="H92" s="248">
        <f>E92</f>
        <v>0</v>
      </c>
      <c r="I92" s="5"/>
      <c r="J92" s="5"/>
      <c r="K92" s="5"/>
      <c r="L92" s="5"/>
      <c r="M92" s="5"/>
      <c r="N92" s="5"/>
      <c r="O92" s="5"/>
      <c r="P92" s="5"/>
      <c r="Q92" s="5"/>
    </row>
    <row r="93" spans="1:17" ht="18" customHeight="1" thickBot="1">
      <c r="A93" s="12"/>
      <c r="B93" s="3" t="s">
        <v>29</v>
      </c>
      <c r="C93" s="13" t="s">
        <v>30</v>
      </c>
      <c r="D93" s="3" t="s">
        <v>11</v>
      </c>
      <c r="E93" s="3">
        <f>'Calcul SF,HB,HB+SF '!H24</f>
        <v>0</v>
      </c>
      <c r="F93" s="286">
        <v>17</v>
      </c>
      <c r="G93" s="33">
        <f t="shared" ref="G93:G102" si="4">E93*F93</f>
        <v>0</v>
      </c>
      <c r="H93" s="248">
        <f>E93</f>
        <v>0</v>
      </c>
      <c r="I93" s="5"/>
      <c r="J93" s="5"/>
      <c r="K93" s="5"/>
      <c r="L93" s="5"/>
      <c r="M93" s="5"/>
      <c r="N93" s="5"/>
      <c r="O93" s="5"/>
      <c r="P93" s="5"/>
      <c r="Q93" s="5"/>
    </row>
    <row r="94" spans="1:17" ht="18" customHeight="1" thickBot="1">
      <c r="A94" s="161"/>
      <c r="B94" s="162" t="s">
        <v>377</v>
      </c>
      <c r="C94" s="163" t="s">
        <v>378</v>
      </c>
      <c r="D94" s="162" t="s">
        <v>11</v>
      </c>
      <c r="E94" s="162">
        <f>'Calcul SF,HB,HB+SF '!J22</f>
        <v>0</v>
      </c>
      <c r="F94" s="303">
        <v>63</v>
      </c>
      <c r="G94" s="164">
        <f t="shared" si="4"/>
        <v>0</v>
      </c>
      <c r="H94" s="248">
        <f>E94</f>
        <v>0</v>
      </c>
      <c r="I94" s="5"/>
      <c r="J94" s="5"/>
      <c r="K94" s="5"/>
      <c r="L94" s="5"/>
      <c r="M94" s="5"/>
      <c r="N94" s="5"/>
      <c r="O94" s="5"/>
      <c r="P94" s="5"/>
      <c r="Q94" s="5"/>
    </row>
    <row r="95" spans="1:17" ht="18" customHeight="1" thickTop="1" thickBot="1">
      <c r="A95" s="550" t="s">
        <v>326</v>
      </c>
      <c r="B95" s="544"/>
      <c r="C95" s="544"/>
      <c r="D95" s="14"/>
      <c r="E95" s="14"/>
      <c r="F95" s="309"/>
      <c r="G95" s="38"/>
      <c r="H95" s="248">
        <f>SUM(H96:H98)</f>
        <v>0</v>
      </c>
      <c r="I95" s="5"/>
      <c r="J95" s="5"/>
      <c r="K95" s="5"/>
      <c r="L95" s="5"/>
      <c r="M95" s="5"/>
      <c r="N95" s="5"/>
      <c r="O95" s="5"/>
      <c r="P95" s="5"/>
      <c r="Q95" s="5"/>
    </row>
    <row r="96" spans="1:17" ht="27.9" customHeight="1" thickTop="1" thickBot="1">
      <c r="A96" s="266"/>
      <c r="B96" s="267" t="s">
        <v>376</v>
      </c>
      <c r="C96" s="269" t="s">
        <v>379</v>
      </c>
      <c r="D96" s="267" t="s">
        <v>11</v>
      </c>
      <c r="E96" s="267">
        <f>'Calcul SF,HB,HB+SF '!V22</f>
        <v>0</v>
      </c>
      <c r="F96" s="287">
        <v>229</v>
      </c>
      <c r="G96" s="270">
        <f>E96*F96</f>
        <v>0</v>
      </c>
      <c r="H96" s="248">
        <f>E96</f>
        <v>0</v>
      </c>
      <c r="I96" s="5"/>
      <c r="J96" s="5"/>
      <c r="K96" s="5"/>
      <c r="L96" s="5"/>
      <c r="M96" s="5"/>
      <c r="N96" s="5"/>
      <c r="O96" s="5"/>
      <c r="P96" s="5"/>
      <c r="Q96" s="5"/>
    </row>
    <row r="97" spans="1:36" ht="18" customHeight="1" thickBot="1">
      <c r="A97" s="12"/>
      <c r="B97" s="3" t="s">
        <v>29</v>
      </c>
      <c r="C97" s="13" t="s">
        <v>30</v>
      </c>
      <c r="D97" s="3" t="s">
        <v>11</v>
      </c>
      <c r="E97" s="212">
        <f>'Calcul SF,HB,HB+SF '!S24</f>
        <v>0</v>
      </c>
      <c r="F97" s="286">
        <v>17</v>
      </c>
      <c r="G97" s="33">
        <f>E97*F97</f>
        <v>0</v>
      </c>
      <c r="H97" s="248">
        <f>E97</f>
        <v>0</v>
      </c>
      <c r="I97" s="5"/>
      <c r="J97" s="5"/>
      <c r="K97" s="5"/>
      <c r="L97" s="5"/>
      <c r="M97" s="5"/>
      <c r="N97" s="5"/>
      <c r="O97" s="5"/>
      <c r="P97" s="5"/>
      <c r="Q97" s="5"/>
    </row>
    <row r="98" spans="1:36" ht="18" customHeight="1" thickBot="1">
      <c r="A98" s="161"/>
      <c r="B98" s="162" t="s">
        <v>377</v>
      </c>
      <c r="C98" s="163" t="s">
        <v>378</v>
      </c>
      <c r="D98" s="162" t="s">
        <v>11</v>
      </c>
      <c r="E98" s="162">
        <f>'Calcul SF,HB,HB+SF '!U22</f>
        <v>0</v>
      </c>
      <c r="F98" s="303">
        <v>63</v>
      </c>
      <c r="G98" s="164">
        <f>E98*F98</f>
        <v>0</v>
      </c>
      <c r="H98" s="248">
        <f>E98</f>
        <v>0</v>
      </c>
      <c r="I98" s="5"/>
      <c r="J98" s="5"/>
      <c r="K98" s="5"/>
      <c r="L98" s="5"/>
      <c r="M98" s="5"/>
      <c r="N98" s="5"/>
      <c r="O98" s="5"/>
      <c r="P98" s="5"/>
      <c r="Q98" s="5"/>
    </row>
    <row r="99" spans="1:36" ht="18" customHeight="1" thickTop="1" thickBot="1">
      <c r="A99" s="550" t="s">
        <v>32</v>
      </c>
      <c r="B99" s="544"/>
      <c r="C99" s="544"/>
      <c r="D99" s="14"/>
      <c r="E99" s="14"/>
      <c r="F99" s="310"/>
      <c r="G99" s="38"/>
      <c r="H99" s="248">
        <f>SUM(H100:H102)</f>
        <v>0</v>
      </c>
      <c r="J99" s="5"/>
    </row>
    <row r="100" spans="1:36" ht="27.9" customHeight="1" thickTop="1" thickBot="1">
      <c r="A100" s="266"/>
      <c r="B100" s="267" t="s">
        <v>376</v>
      </c>
      <c r="C100" s="269" t="s">
        <v>379</v>
      </c>
      <c r="D100" s="267" t="s">
        <v>11</v>
      </c>
      <c r="E100" s="267">
        <f>'Calcul SF,HB,HB+SF '!AE22</f>
        <v>0</v>
      </c>
      <c r="F100" s="287">
        <v>229</v>
      </c>
      <c r="G100" s="270">
        <f t="shared" si="4"/>
        <v>0</v>
      </c>
      <c r="H100" s="248">
        <f>E100</f>
        <v>0</v>
      </c>
      <c r="J100" s="5"/>
    </row>
    <row r="101" spans="1:36" ht="18" customHeight="1" thickBot="1">
      <c r="A101" s="12"/>
      <c r="B101" s="3" t="s">
        <v>29</v>
      </c>
      <c r="C101" s="13" t="s">
        <v>30</v>
      </c>
      <c r="D101" s="3" t="s">
        <v>11</v>
      </c>
      <c r="E101" s="3">
        <f>'Calcul SF,HB,HB+SF '!AD24</f>
        <v>0</v>
      </c>
      <c r="F101" s="286">
        <v>17</v>
      </c>
      <c r="G101" s="33">
        <f t="shared" si="4"/>
        <v>0</v>
      </c>
      <c r="H101" s="248">
        <f>E101</f>
        <v>0</v>
      </c>
      <c r="J101" s="5"/>
    </row>
    <row r="102" spans="1:36" ht="18" customHeight="1" thickBot="1">
      <c r="A102" s="280"/>
      <c r="B102" s="281" t="s">
        <v>377</v>
      </c>
      <c r="C102" s="282" t="s">
        <v>378</v>
      </c>
      <c r="D102" s="281" t="s">
        <v>11</v>
      </c>
      <c r="E102" s="281">
        <f>'Calcul SF,HB,HB+SF '!AF22</f>
        <v>0</v>
      </c>
      <c r="F102" s="288">
        <v>63</v>
      </c>
      <c r="G102" s="283">
        <f t="shared" si="4"/>
        <v>0</v>
      </c>
      <c r="H102" s="248">
        <f>E102</f>
        <v>0</v>
      </c>
      <c r="J102" s="5"/>
    </row>
    <row r="103" spans="1:36" ht="18" customHeight="1" thickTop="1" thickBot="1">
      <c r="A103" s="537" t="s">
        <v>25</v>
      </c>
      <c r="B103" s="546"/>
      <c r="C103" s="546"/>
      <c r="D103" s="546"/>
      <c r="E103" s="546"/>
      <c r="F103" s="546"/>
      <c r="G103" s="268">
        <f>SUM(G92:G102)</f>
        <v>0</v>
      </c>
      <c r="H103" s="251">
        <f>G103</f>
        <v>0</v>
      </c>
      <c r="J103" s="5"/>
      <c r="K103" t="s">
        <v>184</v>
      </c>
    </row>
    <row r="104" spans="1:36" ht="18" customHeight="1" thickTop="1" thickBot="1">
      <c r="A104" s="522" t="s">
        <v>157</v>
      </c>
      <c r="B104" s="539"/>
      <c r="C104" s="539"/>
      <c r="D104" s="539"/>
      <c r="E104" s="47">
        <v>0.05</v>
      </c>
      <c r="F104" s="42"/>
      <c r="G104" s="98">
        <f>G103*(1-E104)</f>
        <v>0</v>
      </c>
      <c r="H104" s="251">
        <f>G104</f>
        <v>0</v>
      </c>
      <c r="J104" s="5"/>
    </row>
    <row r="105" spans="1:36" ht="18" customHeight="1" thickTop="1" thickBot="1">
      <c r="A105" s="522" t="s">
        <v>143</v>
      </c>
      <c r="B105" s="523"/>
      <c r="C105" s="523"/>
      <c r="D105" s="523"/>
      <c r="E105" s="523"/>
      <c r="F105" s="523"/>
      <c r="G105" s="98">
        <f>G104*1.21</f>
        <v>0</v>
      </c>
      <c r="H105" s="251">
        <f>G105</f>
        <v>0</v>
      </c>
      <c r="J105" s="5"/>
    </row>
    <row r="106" spans="1:36" ht="18.75" customHeight="1" thickTop="1">
      <c r="A106" s="53"/>
      <c r="B106" s="53"/>
      <c r="C106" s="53"/>
      <c r="D106" s="53"/>
      <c r="E106" s="53"/>
      <c r="F106" s="53"/>
      <c r="G106" s="70"/>
      <c r="H106" s="251"/>
    </row>
    <row r="107" spans="1:36" ht="18.75" customHeight="1">
      <c r="A107" s="53"/>
      <c r="B107" s="53"/>
      <c r="C107" s="53"/>
      <c r="D107" s="53"/>
      <c r="E107" s="53"/>
      <c r="F107" s="53"/>
      <c r="G107" s="70"/>
      <c r="H107" s="251"/>
    </row>
    <row r="108" spans="1:36" ht="18" customHeight="1">
      <c r="I108" s="568"/>
      <c r="J108" s="568"/>
      <c r="K108" s="568"/>
      <c r="L108" s="73"/>
      <c r="M108" s="88"/>
      <c r="N108" s="88"/>
      <c r="O108" s="102"/>
      <c r="P108" s="100"/>
      <c r="Q108" s="92"/>
      <c r="R108" s="92"/>
      <c r="S108" s="92"/>
      <c r="T108" s="69"/>
      <c r="U108" s="69"/>
      <c r="V108" s="69"/>
      <c r="W108" s="69"/>
      <c r="X108" s="69"/>
      <c r="Y108" s="69"/>
      <c r="Z108" s="69"/>
      <c r="AA108" s="69"/>
      <c r="AB108" s="69"/>
      <c r="AC108" s="69"/>
      <c r="AD108" s="69"/>
      <c r="AE108" s="69"/>
      <c r="AF108" s="69"/>
      <c r="AG108" s="69"/>
      <c r="AH108" s="69"/>
      <c r="AI108" s="69"/>
      <c r="AJ108" s="69"/>
    </row>
    <row r="109" spans="1:36">
      <c r="I109" s="86"/>
      <c r="J109" s="81"/>
      <c r="K109" s="82"/>
      <c r="L109" s="82"/>
      <c r="M109" s="86"/>
      <c r="N109" s="86"/>
      <c r="O109" s="73"/>
      <c r="P109" s="100"/>
      <c r="Q109" s="92"/>
      <c r="R109" s="92"/>
      <c r="S109" s="92"/>
      <c r="T109" s="69"/>
      <c r="U109" s="69"/>
      <c r="V109" s="69"/>
      <c r="W109" s="69"/>
      <c r="X109" s="69"/>
      <c r="Y109" s="69"/>
      <c r="Z109" s="69"/>
      <c r="AA109" s="69"/>
      <c r="AB109" s="69"/>
      <c r="AC109" s="69"/>
      <c r="AD109" s="69"/>
      <c r="AE109" s="69"/>
      <c r="AF109" s="69"/>
      <c r="AG109" s="69"/>
      <c r="AH109" s="69"/>
      <c r="AI109" s="69"/>
      <c r="AJ109" s="69"/>
    </row>
    <row r="110" spans="1:36" ht="18.75" customHeight="1">
      <c r="A110" s="520" t="s">
        <v>335</v>
      </c>
      <c r="B110" s="521"/>
      <c r="C110" s="521"/>
      <c r="D110" s="521"/>
      <c r="E110" s="521"/>
      <c r="F110" s="521"/>
      <c r="G110" s="521"/>
      <c r="H110" s="251">
        <f>SUM(H112:H116)</f>
        <v>0</v>
      </c>
    </row>
    <row r="111" spans="1:36" ht="15" thickBot="1">
      <c r="A111" s="53"/>
      <c r="B111" s="53"/>
      <c r="C111" s="53"/>
      <c r="D111" s="53"/>
      <c r="E111" s="53"/>
      <c r="F111" s="53"/>
      <c r="G111" s="70"/>
      <c r="H111" s="251"/>
    </row>
    <row r="112" spans="1:36" ht="18" customHeight="1" thickTop="1">
      <c r="A112" s="6" t="s">
        <v>1</v>
      </c>
      <c r="B112" s="518"/>
      <c r="C112" s="518" t="s">
        <v>4</v>
      </c>
      <c r="D112" s="518" t="s">
        <v>5</v>
      </c>
      <c r="E112" s="518" t="s">
        <v>6</v>
      </c>
      <c r="F112" s="7" t="s">
        <v>7</v>
      </c>
      <c r="G112" s="8" t="s">
        <v>9</v>
      </c>
      <c r="H112" s="251">
        <f>G116</f>
        <v>0</v>
      </c>
    </row>
    <row r="113" spans="1:26" ht="18" customHeight="1" thickBot="1">
      <c r="A113" s="9" t="s">
        <v>2</v>
      </c>
      <c r="B113" s="519"/>
      <c r="C113" s="519"/>
      <c r="D113" s="519"/>
      <c r="E113" s="519"/>
      <c r="F113" s="10" t="s">
        <v>330</v>
      </c>
      <c r="G113" s="11" t="s">
        <v>330</v>
      </c>
      <c r="H113" s="251">
        <f>G116</f>
        <v>0</v>
      </c>
    </row>
    <row r="114" spans="1:26" ht="18" customHeight="1" thickTop="1" thickBot="1">
      <c r="A114" s="12"/>
      <c r="B114" s="3"/>
      <c r="C114" s="13" t="s">
        <v>329</v>
      </c>
      <c r="D114" s="3" t="s">
        <v>92</v>
      </c>
      <c r="E114" s="212">
        <f>'Calcul SF,HB,HB+SF '!A24</f>
        <v>0</v>
      </c>
      <c r="F114" s="150">
        <v>13</v>
      </c>
      <c r="G114" s="33">
        <f>E114*F114</f>
        <v>0</v>
      </c>
      <c r="H114" s="251">
        <f>E114</f>
        <v>0</v>
      </c>
    </row>
    <row r="115" spans="1:26" ht="18" customHeight="1" thickBot="1">
      <c r="A115" s="221"/>
      <c r="B115" s="222"/>
      <c r="C115" s="220" t="s">
        <v>332</v>
      </c>
      <c r="D115" s="222" t="s">
        <v>331</v>
      </c>
      <c r="E115" s="225">
        <f>IF(AND(E71=1, E75=1, E79=1), 3,
IF(OR(AND(E71=1, E75=1), AND(E71=1, E79=1), AND(E75=1, E79=1)), 2,
IF(OR(E71=1, E75=1, E79=1), 1, 0)))</f>
        <v>0</v>
      </c>
      <c r="F115" s="225">
        <v>170</v>
      </c>
      <c r="G115" s="262">
        <f>E115*F115</f>
        <v>0</v>
      </c>
      <c r="H115" s="251">
        <f>E115</f>
        <v>0</v>
      </c>
    </row>
    <row r="116" spans="1:26" ht="18" customHeight="1" thickTop="1" thickBot="1">
      <c r="A116" s="522" t="s">
        <v>334</v>
      </c>
      <c r="B116" s="523"/>
      <c r="C116" s="523"/>
      <c r="D116" s="523"/>
      <c r="E116" s="523"/>
      <c r="F116" s="523"/>
      <c r="G116" s="98">
        <f>SUM(G114:G115)</f>
        <v>0</v>
      </c>
      <c r="H116" s="251">
        <f>G116</f>
        <v>0</v>
      </c>
    </row>
    <row r="117" spans="1:26" ht="18" customHeight="1" thickTop="1">
      <c r="A117" s="53"/>
      <c r="B117" s="53"/>
      <c r="C117" s="53"/>
      <c r="D117" s="53"/>
      <c r="E117" s="53"/>
      <c r="F117" s="53"/>
      <c r="G117" s="70"/>
      <c r="H117" s="251">
        <f>SUM(H112:H116)</f>
        <v>0</v>
      </c>
      <c r="J117" s="79"/>
      <c r="K117" s="80"/>
      <c r="L117" s="80"/>
      <c r="M117" s="78"/>
      <c r="N117" s="78"/>
      <c r="P117" s="49"/>
      <c r="Q117" s="92"/>
      <c r="R117" s="92"/>
      <c r="S117" s="92"/>
      <c r="T117" s="69"/>
      <c r="U117" s="69"/>
      <c r="V117" s="93"/>
      <c r="W117" s="88"/>
      <c r="X117" s="89"/>
      <c r="Y117" s="89"/>
      <c r="Z117" s="69"/>
    </row>
    <row r="118" spans="1:26" ht="18.75" customHeight="1">
      <c r="A118" s="520" t="s">
        <v>336</v>
      </c>
      <c r="B118" s="521"/>
      <c r="C118" s="521"/>
      <c r="D118" s="521"/>
      <c r="E118" s="521"/>
      <c r="F118" s="521"/>
      <c r="G118" s="521"/>
      <c r="H118" s="251">
        <f>SUM(H120:H124)</f>
        <v>0</v>
      </c>
    </row>
    <row r="119" spans="1:26" ht="15" thickBot="1">
      <c r="A119" s="53"/>
      <c r="B119" s="53"/>
      <c r="C119" s="53"/>
      <c r="D119" s="53"/>
      <c r="E119" s="53"/>
      <c r="F119" s="53"/>
      <c r="G119" s="70"/>
      <c r="H119" s="251">
        <f>G124</f>
        <v>0</v>
      </c>
    </row>
    <row r="120" spans="1:26" ht="18" customHeight="1" thickTop="1">
      <c r="A120" s="6" t="s">
        <v>1</v>
      </c>
      <c r="B120" s="518"/>
      <c r="C120" s="518" t="s">
        <v>4</v>
      </c>
      <c r="D120" s="518" t="s">
        <v>5</v>
      </c>
      <c r="E120" s="518" t="s">
        <v>6</v>
      </c>
      <c r="F120" s="7" t="s">
        <v>7</v>
      </c>
      <c r="G120" s="8" t="s">
        <v>9</v>
      </c>
      <c r="H120" s="251">
        <f>G124</f>
        <v>0</v>
      </c>
    </row>
    <row r="121" spans="1:26" ht="18" customHeight="1" thickBot="1">
      <c r="A121" s="9" t="s">
        <v>2</v>
      </c>
      <c r="B121" s="519"/>
      <c r="C121" s="519"/>
      <c r="D121" s="519"/>
      <c r="E121" s="519"/>
      <c r="F121" s="10" t="s">
        <v>330</v>
      </c>
      <c r="G121" s="11" t="s">
        <v>330</v>
      </c>
      <c r="H121" s="251">
        <f>G124</f>
        <v>0</v>
      </c>
    </row>
    <row r="122" spans="1:26" ht="18" customHeight="1" thickTop="1" thickBot="1">
      <c r="A122" s="12"/>
      <c r="B122" s="3"/>
      <c r="C122" s="13" t="s">
        <v>329</v>
      </c>
      <c r="D122" s="3" t="s">
        <v>92</v>
      </c>
      <c r="E122" s="212">
        <f>'Calcul SF,HB,HB+SF '!A24</f>
        <v>0</v>
      </c>
      <c r="F122" s="150">
        <v>13</v>
      </c>
      <c r="G122" s="33">
        <f>E122*F122</f>
        <v>0</v>
      </c>
      <c r="H122" s="251">
        <f>E122</f>
        <v>0</v>
      </c>
    </row>
    <row r="123" spans="1:26" ht="18" customHeight="1" thickBot="1">
      <c r="A123" s="223"/>
      <c r="B123" s="224"/>
      <c r="C123" s="219" t="s">
        <v>333</v>
      </c>
      <c r="D123" s="227" t="s">
        <v>331</v>
      </c>
      <c r="E123" s="228">
        <f>IF(AND(E92=1, E96=1, E100=1), 3,
IF(OR(AND(E92=1, E96=1), AND(E92=1, E100=1), AND(E96=1, E100=1)), 2,
IF(OR(E92=1, E96=1, E100=1), 1, 0)))</f>
        <v>0</v>
      </c>
      <c r="F123" s="228">
        <v>110</v>
      </c>
      <c r="G123" s="263">
        <f>E123*F123</f>
        <v>0</v>
      </c>
      <c r="H123" s="251">
        <f>E123</f>
        <v>0</v>
      </c>
    </row>
    <row r="124" spans="1:26" ht="18" customHeight="1" thickTop="1" thickBot="1">
      <c r="A124" s="522" t="s">
        <v>334</v>
      </c>
      <c r="B124" s="523"/>
      <c r="C124" s="523"/>
      <c r="D124" s="523"/>
      <c r="E124" s="523"/>
      <c r="F124" s="523"/>
      <c r="G124" s="98">
        <f>SUM(G122:G123)</f>
        <v>0</v>
      </c>
      <c r="H124" s="251">
        <f>G124</f>
        <v>0</v>
      </c>
    </row>
    <row r="125" spans="1:26" ht="15" thickTop="1"/>
    <row r="127" spans="1:26" ht="18" customHeight="1">
      <c r="A127" s="544" t="s">
        <v>169</v>
      </c>
      <c r="B127" s="544"/>
      <c r="C127" s="544"/>
      <c r="D127" s="544"/>
      <c r="E127" s="544"/>
      <c r="F127" s="544"/>
      <c r="G127" s="544"/>
      <c r="J127" s="81"/>
      <c r="K127" s="82"/>
      <c r="L127" s="80"/>
      <c r="M127" s="78"/>
      <c r="N127" s="78"/>
      <c r="P127" s="49"/>
      <c r="Q127" s="50"/>
      <c r="R127" s="50"/>
      <c r="S127" s="50"/>
    </row>
    <row r="128" spans="1:26" ht="18" customHeight="1">
      <c r="A128" s="559" t="s">
        <v>170</v>
      </c>
      <c r="B128" s="559"/>
      <c r="C128" s="559"/>
      <c r="D128" s="559"/>
      <c r="E128" s="559"/>
      <c r="F128" s="559"/>
      <c r="G128" s="559"/>
      <c r="J128" s="79"/>
      <c r="K128" s="80"/>
      <c r="L128" s="80"/>
      <c r="M128" s="78"/>
      <c r="N128" s="78"/>
      <c r="P128" s="49"/>
      <c r="Q128" s="50"/>
      <c r="R128" s="50"/>
      <c r="S128" s="50"/>
    </row>
    <row r="129" spans="1:21" ht="27" customHeight="1">
      <c r="A129" s="559" t="s">
        <v>177</v>
      </c>
      <c r="B129" s="559"/>
      <c r="C129" s="559"/>
      <c r="D129" s="559"/>
      <c r="E129" s="559"/>
      <c r="F129" s="559"/>
      <c r="G129" s="559"/>
      <c r="J129" s="79"/>
      <c r="K129" s="80"/>
      <c r="L129" s="80"/>
      <c r="M129" s="78"/>
      <c r="N129" s="78"/>
      <c r="P129" s="49"/>
      <c r="Q129" s="50"/>
      <c r="R129" s="50"/>
      <c r="S129" s="50"/>
    </row>
    <row r="130" spans="1:21" ht="32.25" customHeight="1">
      <c r="A130" s="559" t="s">
        <v>328</v>
      </c>
      <c r="B130" s="559"/>
      <c r="C130" s="559"/>
      <c r="D130" s="559"/>
      <c r="E130" s="559"/>
      <c r="F130" s="559"/>
      <c r="G130" s="559"/>
      <c r="I130" s="558"/>
      <c r="J130" s="558"/>
      <c r="K130" s="558"/>
      <c r="L130" s="83"/>
      <c r="M130" s="84"/>
      <c r="N130" s="84"/>
      <c r="O130" s="51"/>
      <c r="P130" s="49"/>
      <c r="Q130" s="50"/>
      <c r="R130" s="50"/>
      <c r="S130" s="50"/>
    </row>
    <row r="131" spans="1:21" ht="30.75" customHeight="1">
      <c r="A131" s="559" t="s">
        <v>174</v>
      </c>
      <c r="B131" s="559"/>
      <c r="C131" s="559"/>
      <c r="D131" s="559"/>
      <c r="E131" s="559"/>
      <c r="F131" s="559"/>
      <c r="G131" s="559"/>
      <c r="I131" s="556"/>
      <c r="J131" s="79"/>
      <c r="K131" s="80"/>
      <c r="L131" s="80"/>
      <c r="M131" s="78"/>
      <c r="N131" s="78"/>
      <c r="O131" s="551"/>
      <c r="P131" s="49"/>
      <c r="Q131" s="50"/>
      <c r="R131" s="50"/>
      <c r="S131" s="50"/>
    </row>
    <row r="132" spans="1:21" ht="18" customHeight="1">
      <c r="A132" s="16"/>
      <c r="B132" s="16"/>
      <c r="C132" s="16"/>
      <c r="D132" s="16"/>
      <c r="E132" s="16"/>
      <c r="F132" s="16"/>
      <c r="G132" s="16"/>
      <c r="I132" s="557"/>
      <c r="J132" s="79"/>
      <c r="K132" s="80"/>
      <c r="L132" s="80"/>
      <c r="M132" s="78"/>
      <c r="N132" s="78"/>
      <c r="O132" s="552"/>
      <c r="P132" s="49"/>
      <c r="Q132" s="50"/>
      <c r="R132" s="50"/>
      <c r="S132" s="50"/>
    </row>
    <row r="133" spans="1:21" ht="18" customHeight="1">
      <c r="A133" s="560" t="s">
        <v>142</v>
      </c>
      <c r="B133" s="560"/>
      <c r="C133" s="560"/>
      <c r="G133" s="44"/>
      <c r="I133" s="557"/>
      <c r="J133" s="79"/>
      <c r="K133" s="80"/>
      <c r="L133" s="80"/>
      <c r="M133" s="78"/>
      <c r="N133" s="78"/>
      <c r="O133" s="552"/>
      <c r="P133" s="49"/>
      <c r="Q133" s="50"/>
      <c r="R133" s="50"/>
      <c r="S133" s="50"/>
    </row>
    <row r="134" spans="1:21" ht="18" customHeight="1">
      <c r="A134" s="561" t="s">
        <v>324</v>
      </c>
      <c r="B134" s="561"/>
      <c r="C134" s="561"/>
      <c r="D134" s="196"/>
      <c r="E134" s="210"/>
      <c r="F134" s="210"/>
      <c r="G134" s="211"/>
      <c r="I134" s="557"/>
      <c r="J134" s="79"/>
      <c r="K134" s="80"/>
      <c r="L134" s="80"/>
      <c r="M134" s="78"/>
      <c r="N134" s="78"/>
      <c r="O134" s="552"/>
      <c r="P134" s="49"/>
      <c r="Q134" s="50"/>
      <c r="R134" s="50"/>
      <c r="S134" s="50"/>
    </row>
    <row r="135" spans="1:21" ht="18" customHeight="1">
      <c r="A135" s="544" t="s">
        <v>56</v>
      </c>
      <c r="B135" s="544"/>
      <c r="C135" s="544"/>
      <c r="D135" s="544"/>
      <c r="E135" s="544"/>
      <c r="F135" s="544"/>
      <c r="G135" s="544"/>
      <c r="I135" s="557"/>
      <c r="J135" s="79"/>
      <c r="K135" s="80"/>
      <c r="L135" s="80"/>
      <c r="M135" s="78"/>
      <c r="N135" s="78"/>
      <c r="O135" s="552"/>
      <c r="P135" s="49"/>
      <c r="Q135" s="50"/>
      <c r="R135" s="50"/>
      <c r="S135" s="50"/>
    </row>
    <row r="136" spans="1:21" ht="18" customHeight="1">
      <c r="A136" s="544" t="s">
        <v>93</v>
      </c>
      <c r="B136" s="544"/>
      <c r="C136" s="544"/>
      <c r="D136" s="544"/>
      <c r="E136" s="544"/>
      <c r="F136" s="544"/>
      <c r="G136" s="544"/>
      <c r="I136" s="557"/>
      <c r="J136" s="79"/>
      <c r="K136" s="80"/>
      <c r="L136" s="80"/>
      <c r="M136" s="78"/>
      <c r="N136" s="78"/>
      <c r="O136" s="552"/>
      <c r="P136" s="49"/>
      <c r="Q136" s="50"/>
      <c r="R136" s="50"/>
      <c r="S136" s="50"/>
      <c r="U136" s="69"/>
    </row>
    <row r="137" spans="1:21" ht="18" customHeight="1">
      <c r="A137" s="544" t="s">
        <v>57</v>
      </c>
      <c r="B137" s="544"/>
      <c r="C137" s="544"/>
      <c r="D137" s="544"/>
      <c r="E137" s="544"/>
      <c r="F137" s="544"/>
      <c r="G137" s="544"/>
      <c r="I137" s="557"/>
      <c r="J137" s="79"/>
      <c r="K137" s="80"/>
      <c r="L137" s="80"/>
      <c r="M137" s="78"/>
      <c r="N137" s="78"/>
      <c r="O137" s="552"/>
      <c r="Q137" s="50"/>
      <c r="R137" s="50"/>
      <c r="S137" s="50"/>
    </row>
    <row r="138" spans="1:21" ht="18" customHeight="1">
      <c r="A138" s="16"/>
      <c r="B138" s="15"/>
      <c r="C138" s="15"/>
      <c r="D138" s="15"/>
      <c r="E138" s="15"/>
      <c r="F138" s="15"/>
      <c r="G138" s="15"/>
      <c r="I138" s="557"/>
      <c r="J138" s="79"/>
      <c r="K138" s="80"/>
      <c r="L138" s="80"/>
      <c r="M138" s="78"/>
      <c r="N138" s="78"/>
      <c r="O138" s="552"/>
      <c r="P138" s="49"/>
      <c r="Q138" s="50"/>
      <c r="R138" s="50"/>
      <c r="S138" s="50"/>
    </row>
    <row r="139" spans="1:21" ht="18" customHeight="1">
      <c r="A139" s="15"/>
      <c r="B139" s="21" t="s">
        <v>33</v>
      </c>
      <c r="C139" s="22"/>
      <c r="D139" s="22"/>
      <c r="E139" s="22"/>
      <c r="F139" s="22"/>
      <c r="G139" s="22"/>
      <c r="I139" s="557"/>
      <c r="J139" s="79"/>
      <c r="K139" s="80"/>
      <c r="L139" s="80"/>
      <c r="M139" s="78"/>
      <c r="N139" s="78"/>
      <c r="O139" s="552"/>
      <c r="P139" s="49"/>
      <c r="Q139" s="50"/>
      <c r="R139" s="50"/>
      <c r="S139" s="50"/>
    </row>
    <row r="140" spans="1:21" ht="18" customHeight="1">
      <c r="A140" s="15"/>
      <c r="B140" s="23"/>
      <c r="C140" s="24"/>
      <c r="D140" s="24"/>
      <c r="E140" s="24"/>
      <c r="F140" s="24"/>
      <c r="G140" s="24"/>
      <c r="I140" s="557"/>
      <c r="J140" s="79"/>
      <c r="K140" s="80"/>
      <c r="L140" s="80"/>
      <c r="M140" s="78"/>
      <c r="N140" s="78"/>
      <c r="O140" s="552"/>
      <c r="P140" s="49"/>
      <c r="Q140" s="50"/>
      <c r="R140" s="50"/>
      <c r="S140" s="50"/>
    </row>
    <row r="141" spans="1:21" ht="18" customHeight="1">
      <c r="A141" s="25"/>
      <c r="B141" s="553"/>
      <c r="C141" s="530"/>
      <c r="D141" s="25"/>
      <c r="E141" s="25"/>
      <c r="F141" s="25"/>
      <c r="G141" s="25"/>
      <c r="I141" s="557"/>
      <c r="J141" s="81"/>
      <c r="K141" s="82"/>
      <c r="L141" s="80"/>
      <c r="M141" s="78"/>
      <c r="N141" s="85"/>
      <c r="O141" s="552"/>
      <c r="P141" s="49"/>
      <c r="Q141" s="50"/>
      <c r="R141" s="50"/>
      <c r="S141" s="50"/>
    </row>
    <row r="142" spans="1:21" ht="15.75" customHeight="1">
      <c r="A142" s="25"/>
      <c r="B142" s="553" t="s">
        <v>34</v>
      </c>
      <c r="C142" s="530"/>
      <c r="D142" s="25"/>
      <c r="E142" s="25"/>
      <c r="F142" s="25"/>
      <c r="G142" s="25"/>
      <c r="I142" s="557"/>
      <c r="J142" s="77"/>
      <c r="K142" s="85"/>
      <c r="L142" s="80"/>
      <c r="M142" s="78"/>
      <c r="N142" s="85"/>
      <c r="O142" s="552"/>
      <c r="P142" s="49"/>
      <c r="Q142" s="50"/>
      <c r="R142" s="50"/>
      <c r="S142" s="50"/>
    </row>
  </sheetData>
  <autoFilter ref="H20:H124" xr:uid="{493B7CD0-6148-4F50-82A9-B69B0941F6CE}"/>
  <mergeCells count="72">
    <mergeCell ref="A104:D104"/>
    <mergeCell ref="A105:F105"/>
    <mergeCell ref="A103:F103"/>
    <mergeCell ref="I108:K108"/>
    <mergeCell ref="A70:C70"/>
    <mergeCell ref="A74:C74"/>
    <mergeCell ref="A78:C78"/>
    <mergeCell ref="A99:C99"/>
    <mergeCell ref="A91:C91"/>
    <mergeCell ref="A95:C95"/>
    <mergeCell ref="A82:F82"/>
    <mergeCell ref="A83:D83"/>
    <mergeCell ref="A84:F84"/>
    <mergeCell ref="A87:G87"/>
    <mergeCell ref="B89:B90"/>
    <mergeCell ref="C89:C90"/>
    <mergeCell ref="A21:F21"/>
    <mergeCell ref="A65:G65"/>
    <mergeCell ref="A66:G66"/>
    <mergeCell ref="A54:D54"/>
    <mergeCell ref="A55:D55"/>
    <mergeCell ref="A63:G63"/>
    <mergeCell ref="A23:F23"/>
    <mergeCell ref="A53:D53"/>
    <mergeCell ref="D89:D90"/>
    <mergeCell ref="E89:E90"/>
    <mergeCell ref="A86:G86"/>
    <mergeCell ref="B68:B69"/>
    <mergeCell ref="C68:C69"/>
    <mergeCell ref="D68:D69"/>
    <mergeCell ref="E68:E69"/>
    <mergeCell ref="A7:C7"/>
    <mergeCell ref="A1:C1"/>
    <mergeCell ref="A3:C3"/>
    <mergeCell ref="A4:C4"/>
    <mergeCell ref="A5:C5"/>
    <mergeCell ref="A6:C6"/>
    <mergeCell ref="A9:G9"/>
    <mergeCell ref="A10:G10"/>
    <mergeCell ref="A18:G18"/>
    <mergeCell ref="B19:B20"/>
    <mergeCell ref="C19:C20"/>
    <mergeCell ref="D19:D20"/>
    <mergeCell ref="E19:E20"/>
    <mergeCell ref="A11:C11"/>
    <mergeCell ref="A110:G110"/>
    <mergeCell ref="B112:B113"/>
    <mergeCell ref="C112:C113"/>
    <mergeCell ref="D112:D113"/>
    <mergeCell ref="E112:E113"/>
    <mergeCell ref="A116:F116"/>
    <mergeCell ref="A118:G118"/>
    <mergeCell ref="B120:B121"/>
    <mergeCell ref="C120:C121"/>
    <mergeCell ref="D120:D121"/>
    <mergeCell ref="E120:E121"/>
    <mergeCell ref="A124:F124"/>
    <mergeCell ref="A127:G127"/>
    <mergeCell ref="A128:G128"/>
    <mergeCell ref="A129:G129"/>
    <mergeCell ref="A130:G130"/>
    <mergeCell ref="I130:K130"/>
    <mergeCell ref="A131:G131"/>
    <mergeCell ref="I131:I142"/>
    <mergeCell ref="O131:O142"/>
    <mergeCell ref="A133:C133"/>
    <mergeCell ref="A134:C134"/>
    <mergeCell ref="A135:G135"/>
    <mergeCell ref="A136:G136"/>
    <mergeCell ref="A137:G137"/>
    <mergeCell ref="B141:C141"/>
    <mergeCell ref="B142:C142"/>
  </mergeCells>
  <hyperlinks>
    <hyperlink ref="B142" r:id="rId1" xr:uid="{7C398942-9949-4575-A528-59115C34C58D}"/>
    <hyperlink ref="A134" r:id="rId2" xr:uid="{C167DB52-9AE9-4E64-9479-1AD69DB1A252}"/>
  </hyperlinks>
  <pageMargins left="0.70866141732283505" right="0.23622047244094499" top="1.14173228346457" bottom="1.1599999999999999" header="0.196850393700787" footer="0.15748031496063"/>
  <pageSetup paperSize="9" scale="83" orientation="portrait" r:id="rId3"/>
  <headerFooter scaleWithDoc="0" alignWithMargins="0">
    <oddHeader>&amp;L&amp;G&amp;R&amp;G</oddHeader>
    <oddFooter xml:space="preserve">&amp;L
RO33404978
J40/8589/2014
RO56INGB0000999915150915
ING BANK NV&amp;CStr. Învingătorilor nr. 27, Sector 3, București
Tel :  (+4) 0314.361.836
Mobil:  (+4) 0724.204.888
             (+4) 0766.367.287&amp;REmail: 
comercial@magnumheating.ro
</oddFooter>
  </headerFooter>
  <colBreaks count="1" manualBreakCount="1">
    <brk id="7" max="1048575" man="1"/>
  </colBreaks>
  <drawing r:id="rId4"/>
  <legacyDrawing r:id="rId5"/>
  <legacyDrawingHF r:id="rId6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66FF"/>
  </sheetPr>
  <dimension ref="A1:Z180"/>
  <sheetViews>
    <sheetView zoomScaleNormal="100" zoomScaleSheetLayoutView="100" workbookViewId="0">
      <selection sqref="A1:C1"/>
    </sheetView>
  </sheetViews>
  <sheetFormatPr defaultRowHeight="14.4"/>
  <cols>
    <col min="1" max="1" width="4.88671875" customWidth="1"/>
    <col min="2" max="2" width="11" customWidth="1"/>
    <col min="3" max="3" width="58.44140625" customWidth="1"/>
    <col min="4" max="4" width="5.88671875" customWidth="1"/>
    <col min="5" max="5" width="6" customWidth="1"/>
    <col min="6" max="6" width="10.88671875" customWidth="1"/>
    <col min="7" max="7" width="14.88671875" customWidth="1"/>
    <col min="8" max="8" width="7" style="244" customWidth="1"/>
    <col min="9" max="9" width="8.88671875" customWidth="1"/>
    <col min="10" max="10" width="14" customWidth="1"/>
    <col min="15" max="15" width="10.5546875" customWidth="1"/>
    <col min="16" max="16" width="13.5546875" customWidth="1"/>
    <col min="17" max="17" width="16.109375" customWidth="1"/>
    <col min="18" max="18" width="8.5546875" customWidth="1"/>
    <col min="20" max="20" width="7.109375" customWidth="1"/>
    <col min="21" max="21" width="11.44140625" customWidth="1"/>
    <col min="22" max="22" width="13.5546875" customWidth="1"/>
    <col min="23" max="23" width="15.6640625" customWidth="1"/>
    <col min="24" max="24" width="14.109375" customWidth="1"/>
    <col min="25" max="25" width="14.88671875" customWidth="1"/>
  </cols>
  <sheetData>
    <row r="1" spans="1:17">
      <c r="A1" s="529" t="s">
        <v>597</v>
      </c>
      <c r="B1" s="530"/>
      <c r="C1" s="530"/>
    </row>
    <row r="2" spans="1:17">
      <c r="A2" s="1"/>
    </row>
    <row r="3" spans="1:17">
      <c r="A3" s="529" t="s">
        <v>168</v>
      </c>
      <c r="B3" s="530"/>
      <c r="C3" s="530"/>
      <c r="J3" t="str">
        <f>IF(AND(ISNUMBER(SEARCH("living",F3)),I3&gt;0),1,IF(AND(ISNUMBER(SEARCH("dining",F3)),I3&gt;0),1,IF(AND(ISNUMBER(SEARCH("bucatarie",F3)),I3&gt;0),1,IF(AND(ISNUMBER(SEARCH("dormitor",F3)),I3&gt;0),1,IF(AND(ISNUMBER(SEARCH("birou",F3)),I3&gt;0),1,IF(AND(ISNUMBER(SEARCH("baie",F3)),I3&gt;0),1,IF(AND(ISNUMBER(SEARCH("liv.+dining",F3)),I3&gt;0),1,IF(AND(ISNUMBER(SEARCH("camera",F3)),I3&gt;0),1,""))))))))</f>
        <v/>
      </c>
    </row>
    <row r="4" spans="1:17">
      <c r="A4" s="529" t="s">
        <v>306</v>
      </c>
      <c r="B4" s="530"/>
      <c r="C4" s="530"/>
    </row>
    <row r="5" spans="1:17">
      <c r="A5" s="529" t="s">
        <v>91</v>
      </c>
      <c r="B5" s="530"/>
      <c r="C5" s="530"/>
    </row>
    <row r="6" spans="1:17">
      <c r="A6" s="529" t="s">
        <v>82</v>
      </c>
      <c r="B6" s="530"/>
      <c r="C6" s="530"/>
    </row>
    <row r="7" spans="1:17">
      <c r="A7" s="529" t="s">
        <v>305</v>
      </c>
      <c r="B7" s="530"/>
      <c r="C7" s="530"/>
    </row>
    <row r="9" spans="1:17" ht="18.75" customHeight="1">
      <c r="A9" s="545" t="s">
        <v>0</v>
      </c>
      <c r="B9" s="545"/>
      <c r="C9" s="545"/>
      <c r="D9" s="545"/>
      <c r="E9" s="545"/>
      <c r="F9" s="545"/>
      <c r="G9" s="545"/>
      <c r="H9" s="246"/>
      <c r="I9" s="4"/>
      <c r="J9" s="5"/>
      <c r="K9" s="5"/>
      <c r="L9" s="5"/>
      <c r="M9" s="5"/>
      <c r="N9" s="5"/>
      <c r="O9" s="5"/>
      <c r="P9" s="5"/>
      <c r="Q9" s="5"/>
    </row>
    <row r="10" spans="1:17" ht="24" customHeight="1">
      <c r="A10" s="524" t="s">
        <v>215</v>
      </c>
      <c r="B10" s="524"/>
      <c r="C10" s="524"/>
      <c r="D10" s="524"/>
      <c r="E10" s="524"/>
      <c r="F10" s="524"/>
      <c r="G10" s="524"/>
      <c r="H10" s="246"/>
      <c r="I10" s="4"/>
      <c r="J10" s="5"/>
      <c r="K10" s="5"/>
      <c r="L10" s="5"/>
      <c r="M10" s="5"/>
      <c r="N10" s="5"/>
      <c r="O10" s="5"/>
      <c r="P10" s="5"/>
      <c r="Q10" s="5"/>
    </row>
    <row r="11" spans="1:17" ht="19.5" customHeight="1">
      <c r="A11" s="524" t="s">
        <v>248</v>
      </c>
      <c r="B11" s="528"/>
      <c r="C11" s="528"/>
      <c r="D11" s="205">
        <f>'Calcul SF,HB,HB+SF '!L24</f>
        <v>0</v>
      </c>
      <c r="E11" s="207" t="s">
        <v>92</v>
      </c>
      <c r="F11" s="4"/>
      <c r="G11" s="4"/>
      <c r="H11" s="246"/>
      <c r="I11" s="4"/>
      <c r="J11" s="5"/>
      <c r="K11" s="5"/>
      <c r="L11" s="5"/>
      <c r="M11" s="5"/>
      <c r="N11" s="5"/>
      <c r="O11" s="5"/>
      <c r="P11" s="5"/>
      <c r="Q11" s="5"/>
    </row>
    <row r="12" spans="1:17" ht="27.9" customHeight="1">
      <c r="A12" s="4"/>
      <c r="B12" s="4"/>
      <c r="C12" s="4"/>
      <c r="D12" s="4"/>
      <c r="E12" s="4"/>
      <c r="F12" s="4"/>
      <c r="G12" s="4"/>
      <c r="H12" s="246"/>
      <c r="I12" s="4"/>
      <c r="J12" s="5"/>
      <c r="K12" s="5"/>
      <c r="L12" s="5"/>
      <c r="M12" s="5"/>
      <c r="N12" s="5"/>
      <c r="O12" s="5"/>
      <c r="P12" s="5"/>
      <c r="Q12" s="5"/>
    </row>
    <row r="13" spans="1:17" ht="27.9" customHeight="1">
      <c r="A13" s="4"/>
      <c r="B13" s="4"/>
      <c r="C13" s="4"/>
      <c r="D13" s="4"/>
      <c r="E13" s="4"/>
      <c r="F13" s="4"/>
      <c r="G13" s="4"/>
      <c r="H13" s="246"/>
      <c r="I13" s="4"/>
      <c r="J13" s="5"/>
      <c r="K13" s="5"/>
      <c r="L13" s="5"/>
      <c r="M13" s="5"/>
      <c r="N13" s="5"/>
      <c r="O13" s="5"/>
      <c r="P13" s="5"/>
      <c r="Q13" s="5"/>
    </row>
    <row r="14" spans="1:17">
      <c r="A14" s="4"/>
      <c r="B14" s="4"/>
      <c r="C14" s="4"/>
      <c r="D14" s="4"/>
      <c r="E14" s="4"/>
      <c r="F14" s="4"/>
      <c r="G14" s="4"/>
      <c r="H14" s="246"/>
      <c r="I14" s="4"/>
      <c r="J14" s="5"/>
      <c r="K14" s="5"/>
      <c r="L14" s="5"/>
      <c r="M14" s="5"/>
      <c r="N14" s="5"/>
      <c r="O14" s="5"/>
      <c r="P14" s="5"/>
      <c r="Q14" s="5"/>
    </row>
    <row r="15" spans="1:17" ht="32.25" customHeight="1">
      <c r="A15" s="4"/>
      <c r="B15" s="4"/>
      <c r="C15" s="4"/>
      <c r="D15" s="4"/>
      <c r="E15" s="4"/>
      <c r="F15" s="4"/>
      <c r="G15" s="4"/>
      <c r="H15" s="246"/>
      <c r="I15" s="4"/>
      <c r="J15" s="5"/>
      <c r="K15" s="5"/>
      <c r="L15" s="5"/>
      <c r="M15" s="5"/>
      <c r="N15" s="5"/>
      <c r="O15" s="5"/>
      <c r="P15" s="5"/>
      <c r="Q15" s="5"/>
    </row>
    <row r="16" spans="1:17" ht="32.25" customHeight="1">
      <c r="A16" s="4"/>
      <c r="B16" s="4"/>
      <c r="C16" s="4"/>
      <c r="D16" s="4"/>
      <c r="E16" s="4"/>
      <c r="F16" s="4"/>
      <c r="G16" s="4"/>
      <c r="H16" s="246"/>
      <c r="I16" s="4"/>
      <c r="J16" s="5"/>
      <c r="K16" s="5"/>
      <c r="L16" s="5"/>
      <c r="M16" s="5"/>
      <c r="N16" s="5"/>
      <c r="O16" s="5"/>
      <c r="P16" s="5"/>
      <c r="Q16" s="5"/>
    </row>
    <row r="17" spans="1:17" ht="21" customHeight="1">
      <c r="A17" s="4"/>
      <c r="B17" s="4"/>
      <c r="C17" s="4"/>
      <c r="D17" s="4"/>
      <c r="E17" s="4"/>
      <c r="F17" s="4"/>
      <c r="G17" s="4"/>
      <c r="H17" s="246"/>
      <c r="I17" s="4"/>
      <c r="J17" s="5"/>
      <c r="K17" s="5"/>
      <c r="L17" s="5"/>
      <c r="M17" s="5"/>
      <c r="N17" s="5"/>
      <c r="O17" s="5"/>
      <c r="P17" s="5"/>
      <c r="Q17" s="5"/>
    </row>
    <row r="18" spans="1:17" ht="21.6" thickBot="1">
      <c r="A18" s="525" t="s">
        <v>140</v>
      </c>
      <c r="B18" s="526"/>
      <c r="C18" s="526"/>
      <c r="D18" s="526"/>
      <c r="E18" s="526"/>
      <c r="F18" s="526"/>
      <c r="G18" s="526"/>
      <c r="H18" s="247"/>
      <c r="I18" s="5"/>
      <c r="J18" s="5"/>
      <c r="K18" s="5"/>
      <c r="L18" s="5"/>
      <c r="M18" s="5"/>
      <c r="N18" s="5"/>
      <c r="O18" s="5"/>
      <c r="P18" s="5"/>
      <c r="Q18" s="5"/>
    </row>
    <row r="19" spans="1:17" ht="18.75" customHeight="1" thickTop="1">
      <c r="A19" s="6" t="s">
        <v>1</v>
      </c>
      <c r="B19" s="518" t="s">
        <v>3</v>
      </c>
      <c r="C19" s="518" t="s">
        <v>4</v>
      </c>
      <c r="D19" s="518" t="s">
        <v>5</v>
      </c>
      <c r="E19" s="518" t="s">
        <v>6</v>
      </c>
      <c r="F19" s="7" t="s">
        <v>7</v>
      </c>
      <c r="G19" s="8" t="s">
        <v>9</v>
      </c>
      <c r="H19" s="247"/>
      <c r="I19" s="5"/>
      <c r="J19" s="5"/>
      <c r="K19" s="5"/>
      <c r="L19" s="5"/>
      <c r="M19" s="5"/>
      <c r="N19" s="5"/>
      <c r="O19" s="5"/>
      <c r="P19" s="5"/>
      <c r="Q19" s="5"/>
    </row>
    <row r="20" spans="1:17" ht="26.25" customHeight="1" thickBot="1">
      <c r="A20" s="17" t="s">
        <v>2</v>
      </c>
      <c r="B20" s="527"/>
      <c r="C20" s="527"/>
      <c r="D20" s="527"/>
      <c r="E20" s="527"/>
      <c r="F20" s="18" t="s">
        <v>8</v>
      </c>
      <c r="G20" s="19" t="s">
        <v>8</v>
      </c>
      <c r="H20" s="247"/>
      <c r="I20" s="5"/>
      <c r="J20" s="5"/>
      <c r="K20" s="5"/>
      <c r="L20" s="5"/>
      <c r="M20" s="5"/>
      <c r="N20" s="5"/>
      <c r="O20" s="5"/>
      <c r="P20" s="5"/>
      <c r="Q20" s="5"/>
    </row>
    <row r="21" spans="1:17" ht="20.100000000000001" customHeight="1" thickTop="1" thickBot="1">
      <c r="A21" s="564" t="s">
        <v>249</v>
      </c>
      <c r="B21" s="578"/>
      <c r="C21" s="578"/>
      <c r="D21" s="146">
        <f>'Calcul SF,HB,HB+SF '!A24</f>
        <v>0</v>
      </c>
      <c r="E21" s="75"/>
      <c r="F21" s="75"/>
      <c r="G21" s="39"/>
      <c r="H21" s="252">
        <f>SUM(H22)</f>
        <v>0</v>
      </c>
      <c r="I21" s="5"/>
      <c r="J21" s="5"/>
      <c r="K21" s="5"/>
      <c r="L21" s="5"/>
      <c r="M21" s="5"/>
      <c r="N21" s="5"/>
      <c r="O21" s="5"/>
      <c r="P21" s="5"/>
      <c r="Q21" s="5"/>
    </row>
    <row r="22" spans="1:17" ht="27.9" customHeight="1" thickTop="1" thickBot="1">
      <c r="A22" s="35"/>
      <c r="B22" s="36" t="s">
        <v>10</v>
      </c>
      <c r="C22" s="37" t="s">
        <v>80</v>
      </c>
      <c r="D22" s="36" t="s">
        <v>13</v>
      </c>
      <c r="E22" s="292">
        <f>'Calcul SF,HB,HB+SF '!E24</f>
        <v>0</v>
      </c>
      <c r="F22" s="302">
        <v>174</v>
      </c>
      <c r="G22" s="38">
        <f>E22*F22</f>
        <v>0</v>
      </c>
      <c r="H22" s="248">
        <f>E22</f>
        <v>0</v>
      </c>
      <c r="I22" s="5"/>
      <c r="J22" s="5"/>
      <c r="K22" s="5"/>
      <c r="L22" s="5"/>
      <c r="M22" s="5"/>
      <c r="N22" s="5"/>
      <c r="O22" s="5"/>
      <c r="P22" s="5"/>
      <c r="Q22" s="5"/>
    </row>
    <row r="23" spans="1:17" ht="20.100000000000001" customHeight="1" thickTop="1" thickBot="1">
      <c r="A23" s="534" t="s">
        <v>250</v>
      </c>
      <c r="B23" s="578"/>
      <c r="C23" s="578"/>
      <c r="D23" s="147">
        <f>'Calcul SF,HB,HB+SF '!B24</f>
        <v>0</v>
      </c>
      <c r="E23" s="144"/>
      <c r="F23" s="144"/>
      <c r="G23" s="145"/>
      <c r="H23" s="248">
        <f>SUM(H24:H29)</f>
        <v>0</v>
      </c>
      <c r="I23" s="5"/>
      <c r="J23" s="5"/>
      <c r="K23" s="46"/>
      <c r="L23" s="46"/>
      <c r="M23" s="46"/>
      <c r="N23" s="46"/>
      <c r="O23" s="46"/>
      <c r="P23" s="5"/>
      <c r="Q23" s="5"/>
    </row>
    <row r="24" spans="1:17" ht="27.9" customHeight="1" thickTop="1" thickBot="1">
      <c r="A24" s="12"/>
      <c r="B24" s="2" t="s">
        <v>87</v>
      </c>
      <c r="C24" s="13" t="s">
        <v>96</v>
      </c>
      <c r="D24" s="2" t="s">
        <v>13</v>
      </c>
      <c r="E24" s="28"/>
      <c r="F24" s="289">
        <v>40</v>
      </c>
      <c r="G24" s="33">
        <f>E24*F24</f>
        <v>0</v>
      </c>
      <c r="H24" s="248">
        <f t="shared" ref="H24:H60" si="0">E24</f>
        <v>0</v>
      </c>
      <c r="I24" s="5"/>
      <c r="J24" s="5"/>
      <c r="K24" s="46"/>
      <c r="L24" s="46"/>
      <c r="M24" s="46"/>
      <c r="N24" s="46"/>
      <c r="O24" s="46"/>
      <c r="P24" s="5"/>
      <c r="Q24" s="5"/>
    </row>
    <row r="25" spans="1:17" ht="27.9" customHeight="1" thickBot="1">
      <c r="A25" s="12"/>
      <c r="B25" s="2" t="s">
        <v>12</v>
      </c>
      <c r="C25" s="13" t="s">
        <v>97</v>
      </c>
      <c r="D25" s="2" t="s">
        <v>13</v>
      </c>
      <c r="E25" s="293">
        <f>'Calcul SF,HB,HB+SF '!F24</f>
        <v>0</v>
      </c>
      <c r="F25" s="290">
        <v>62</v>
      </c>
      <c r="G25" s="33">
        <f>E25*F25</f>
        <v>0</v>
      </c>
      <c r="H25" s="248">
        <f t="shared" si="0"/>
        <v>0</v>
      </c>
      <c r="I25" s="5"/>
      <c r="J25" s="5"/>
      <c r="K25" s="46"/>
      <c r="L25" s="46"/>
      <c r="M25" s="46"/>
      <c r="N25" s="46"/>
      <c r="O25" s="46"/>
      <c r="P25" s="5"/>
      <c r="Q25" s="5"/>
    </row>
    <row r="26" spans="1:17" ht="27.9" customHeight="1" thickBot="1">
      <c r="A26" s="12"/>
      <c r="B26" s="2">
        <v>630112</v>
      </c>
      <c r="C26" s="13" t="s">
        <v>99</v>
      </c>
      <c r="D26" s="3" t="s">
        <v>11</v>
      </c>
      <c r="E26" s="28"/>
      <c r="F26" s="290">
        <v>81</v>
      </c>
      <c r="G26" s="33">
        <f t="shared" ref="G26:G63" si="1">E26*F26</f>
        <v>0</v>
      </c>
      <c r="H26" s="248">
        <f t="shared" si="0"/>
        <v>0</v>
      </c>
      <c r="I26" s="5"/>
      <c r="J26" s="5"/>
      <c r="K26" s="46"/>
      <c r="L26" s="46"/>
      <c r="M26" s="46"/>
      <c r="N26" s="46"/>
      <c r="O26" s="46"/>
      <c r="P26" s="5"/>
      <c r="Q26" s="5"/>
    </row>
    <row r="27" spans="1:17" ht="27.9" customHeight="1" thickBot="1">
      <c r="A27" s="12"/>
      <c r="B27" s="2">
        <v>630113</v>
      </c>
      <c r="C27" s="13" t="s">
        <v>98</v>
      </c>
      <c r="D27" s="3" t="s">
        <v>11</v>
      </c>
      <c r="E27" s="28"/>
      <c r="F27" s="290">
        <v>123</v>
      </c>
      <c r="G27" s="33">
        <f t="shared" si="1"/>
        <v>0</v>
      </c>
      <c r="H27" s="248">
        <f>E27</f>
        <v>0</v>
      </c>
      <c r="I27" s="5"/>
      <c r="J27" s="5"/>
      <c r="K27" s="5"/>
      <c r="L27" s="5"/>
      <c r="M27" s="5"/>
      <c r="N27" s="5"/>
      <c r="O27" s="5"/>
      <c r="P27" s="5"/>
      <c r="Q27" s="5"/>
    </row>
    <row r="28" spans="1:17" ht="18" customHeight="1" thickBot="1">
      <c r="A28" s="12"/>
      <c r="B28" s="2">
        <v>92252</v>
      </c>
      <c r="C28" s="13" t="s">
        <v>100</v>
      </c>
      <c r="D28" s="3" t="s">
        <v>14</v>
      </c>
      <c r="E28" s="28"/>
      <c r="F28" s="290">
        <v>71</v>
      </c>
      <c r="G28" s="33">
        <f t="shared" si="1"/>
        <v>0</v>
      </c>
      <c r="H28" s="248">
        <f t="shared" si="0"/>
        <v>0</v>
      </c>
      <c r="I28" s="5"/>
      <c r="J28" s="5"/>
      <c r="K28" s="5"/>
      <c r="L28" s="5"/>
      <c r="M28" s="5"/>
      <c r="N28" s="5"/>
      <c r="O28" s="5"/>
      <c r="P28" s="5"/>
      <c r="Q28" s="5"/>
    </row>
    <row r="29" spans="1:17" ht="18" customHeight="1" thickBot="1">
      <c r="A29" s="35"/>
      <c r="B29" s="36" t="s">
        <v>132</v>
      </c>
      <c r="C29" s="37" t="s">
        <v>133</v>
      </c>
      <c r="D29" s="40" t="s">
        <v>11</v>
      </c>
      <c r="E29" s="294"/>
      <c r="F29" s="291">
        <v>10</v>
      </c>
      <c r="G29" s="38">
        <f>E29*F29</f>
        <v>0</v>
      </c>
      <c r="H29" s="248">
        <f t="shared" si="0"/>
        <v>0</v>
      </c>
      <c r="I29" s="5"/>
      <c r="J29" s="5"/>
      <c r="K29" s="5"/>
      <c r="L29" s="5"/>
      <c r="M29" s="5"/>
      <c r="N29" s="5"/>
      <c r="O29" s="5"/>
      <c r="P29" s="5"/>
      <c r="Q29" s="5"/>
    </row>
    <row r="30" spans="1:17" ht="20.100000000000001" customHeight="1" thickTop="1" thickBot="1">
      <c r="A30" s="562" t="s">
        <v>16</v>
      </c>
      <c r="B30" s="563"/>
      <c r="C30" s="563"/>
      <c r="D30" s="563"/>
      <c r="E30" s="563"/>
      <c r="F30" s="563"/>
      <c r="G30" s="275"/>
      <c r="H30" s="248">
        <f>SUM(H31:H68)</f>
        <v>0</v>
      </c>
      <c r="I30" s="5"/>
      <c r="J30" s="5"/>
      <c r="K30" s="5"/>
      <c r="L30" s="5"/>
      <c r="M30" s="5" t="s">
        <v>85</v>
      </c>
      <c r="N30" s="5"/>
      <c r="O30" s="5"/>
      <c r="P30" s="5"/>
      <c r="Q30" s="5"/>
    </row>
    <row r="31" spans="1:17" ht="18" customHeight="1" thickTop="1" thickBot="1">
      <c r="A31" s="266"/>
      <c r="B31" s="271" t="s">
        <v>109</v>
      </c>
      <c r="C31" s="269" t="s">
        <v>110</v>
      </c>
      <c r="D31" s="267" t="s">
        <v>14</v>
      </c>
      <c r="E31" s="337">
        <f>'Calcul SF,HB,HB+SF '!G24</f>
        <v>0</v>
      </c>
      <c r="F31" s="287">
        <v>10.5</v>
      </c>
      <c r="G31" s="270">
        <f>E31*F31</f>
        <v>0</v>
      </c>
      <c r="H31" s="248">
        <f t="shared" si="0"/>
        <v>0</v>
      </c>
      <c r="I31" s="5"/>
      <c r="J31" s="5"/>
      <c r="K31" s="5"/>
      <c r="L31" s="5"/>
      <c r="M31" s="5"/>
      <c r="N31" s="5"/>
      <c r="O31" s="5"/>
      <c r="P31" s="5"/>
      <c r="Q31" s="5"/>
    </row>
    <row r="32" spans="1:17" ht="18" customHeight="1" thickBot="1">
      <c r="A32" s="324"/>
      <c r="B32" s="20" t="s">
        <v>415</v>
      </c>
      <c r="C32" s="318" t="s">
        <v>416</v>
      </c>
      <c r="D32" s="319" t="s">
        <v>14</v>
      </c>
      <c r="E32" s="20"/>
      <c r="F32" s="290">
        <v>10</v>
      </c>
      <c r="G32" s="325">
        <f>E32*F32</f>
        <v>0</v>
      </c>
      <c r="H32" s="248">
        <f t="shared" si="0"/>
        <v>0</v>
      </c>
      <c r="I32" s="5"/>
      <c r="L32" s="5"/>
      <c r="M32" s="5"/>
      <c r="N32" s="5"/>
      <c r="O32" s="5"/>
      <c r="P32" s="5"/>
      <c r="Q32" s="5"/>
    </row>
    <row r="33" spans="1:17" ht="18" customHeight="1" thickBot="1">
      <c r="A33" s="324"/>
      <c r="B33" s="20" t="s">
        <v>414</v>
      </c>
      <c r="C33" s="318" t="s">
        <v>417</v>
      </c>
      <c r="D33" s="319" t="s">
        <v>14</v>
      </c>
      <c r="E33" s="20"/>
      <c r="F33" s="290">
        <v>6</v>
      </c>
      <c r="G33" s="325">
        <f>E33*F33</f>
        <v>0</v>
      </c>
      <c r="H33" s="248">
        <f t="shared" si="0"/>
        <v>0</v>
      </c>
      <c r="I33" s="5"/>
      <c r="L33" s="5"/>
      <c r="M33" s="5"/>
      <c r="N33" s="5"/>
      <c r="O33" s="5"/>
      <c r="P33" s="5"/>
      <c r="Q33" s="5"/>
    </row>
    <row r="34" spans="1:17" ht="18" customHeight="1" thickBot="1">
      <c r="A34" s="12"/>
      <c r="B34" s="2" t="s">
        <v>111</v>
      </c>
      <c r="C34" s="13" t="s">
        <v>161</v>
      </c>
      <c r="D34" s="3" t="s">
        <v>11</v>
      </c>
      <c r="E34" s="28"/>
      <c r="F34" s="286">
        <v>165</v>
      </c>
      <c r="G34" s="33">
        <f>E34*F34</f>
        <v>0</v>
      </c>
      <c r="H34" s="248">
        <f t="shared" si="0"/>
        <v>0</v>
      </c>
      <c r="I34" s="5"/>
      <c r="J34" s="5"/>
      <c r="K34" s="5"/>
      <c r="L34" s="5"/>
      <c r="M34" s="5"/>
      <c r="N34" s="5"/>
      <c r="O34" s="5"/>
      <c r="P34" s="5"/>
      <c r="Q34" s="5"/>
    </row>
    <row r="35" spans="1:17" ht="18" customHeight="1" thickBot="1">
      <c r="A35" s="12"/>
      <c r="B35" s="29" t="s">
        <v>115</v>
      </c>
      <c r="C35" s="31" t="s">
        <v>117</v>
      </c>
      <c r="D35" s="30" t="s">
        <v>11</v>
      </c>
      <c r="E35" s="295"/>
      <c r="F35" s="286">
        <v>21</v>
      </c>
      <c r="G35" s="33">
        <f>E35*F35</f>
        <v>0</v>
      </c>
      <c r="H35" s="248">
        <f t="shared" si="0"/>
        <v>0</v>
      </c>
      <c r="I35" s="5"/>
      <c r="J35" s="5"/>
      <c r="K35" s="5"/>
      <c r="L35" s="5"/>
      <c r="M35" s="5"/>
      <c r="N35" s="5"/>
      <c r="O35" s="5"/>
      <c r="P35" s="5"/>
      <c r="Q35" s="5"/>
    </row>
    <row r="36" spans="1:17" ht="18" customHeight="1" thickBot="1">
      <c r="A36" s="27"/>
      <c r="B36" s="20" t="s">
        <v>61</v>
      </c>
      <c r="C36" s="13" t="s">
        <v>63</v>
      </c>
      <c r="D36" s="30" t="s">
        <v>11</v>
      </c>
      <c r="E36" s="296"/>
      <c r="F36" s="286">
        <v>39</v>
      </c>
      <c r="G36" s="33">
        <f t="shared" si="1"/>
        <v>0</v>
      </c>
      <c r="H36" s="248">
        <f t="shared" si="0"/>
        <v>0</v>
      </c>
      <c r="I36" s="5"/>
      <c r="J36" s="5"/>
      <c r="K36" s="5"/>
      <c r="L36" s="5"/>
      <c r="M36" s="5"/>
      <c r="N36" s="5"/>
      <c r="O36" s="5"/>
      <c r="P36" s="5"/>
      <c r="Q36" s="5"/>
    </row>
    <row r="37" spans="1:17" ht="18" customHeight="1" thickBot="1">
      <c r="A37" s="27"/>
      <c r="B37" s="20" t="s">
        <v>62</v>
      </c>
      <c r="C37" s="13" t="s">
        <v>75</v>
      </c>
      <c r="D37" s="30" t="s">
        <v>11</v>
      </c>
      <c r="E37" s="296"/>
      <c r="F37" s="286">
        <v>116</v>
      </c>
      <c r="G37" s="33">
        <f t="shared" si="1"/>
        <v>0</v>
      </c>
      <c r="H37" s="248">
        <f t="shared" si="0"/>
        <v>0</v>
      </c>
      <c r="I37" s="5"/>
      <c r="J37" s="5"/>
      <c r="K37" s="5"/>
      <c r="L37" s="5"/>
      <c r="M37" s="5"/>
      <c r="N37" s="5"/>
      <c r="O37" s="5"/>
      <c r="P37" s="5"/>
      <c r="Q37" s="5"/>
    </row>
    <row r="38" spans="1:17" ht="18" customHeight="1" thickBot="1">
      <c r="A38" s="12"/>
      <c r="B38" s="2" t="s">
        <v>17</v>
      </c>
      <c r="C38" s="13" t="s">
        <v>18</v>
      </c>
      <c r="D38" s="30" t="s">
        <v>11</v>
      </c>
      <c r="E38" s="296">
        <f>IF('Calcul SF,HB,HB+SF '!$C$24&gt;=300,MIN(MOD('Calcul SF,HB,HB+SF '!$C$24,300)/100,INT('Calcul SF,HB,HB+SF '!$C$24/100)),IF('Calcul SF,HB,HB+SF '!$C$24&gt;=100,INT('Calcul SF,HB,HB+SF '!$C$24/100),0))</f>
        <v>0</v>
      </c>
      <c r="F38" s="286">
        <v>52</v>
      </c>
      <c r="G38" s="33">
        <f t="shared" si="1"/>
        <v>0</v>
      </c>
      <c r="H38" s="248">
        <f t="shared" si="0"/>
        <v>0</v>
      </c>
      <c r="I38" s="5"/>
      <c r="J38" s="5"/>
      <c r="K38" s="5"/>
      <c r="L38" s="5"/>
      <c r="M38" s="5"/>
      <c r="N38" s="5"/>
      <c r="O38" s="5"/>
      <c r="P38" s="5"/>
      <c r="Q38" s="5"/>
    </row>
    <row r="39" spans="1:17" ht="18" customHeight="1" thickBot="1">
      <c r="A39" s="12"/>
      <c r="B39" s="2" t="s">
        <v>19</v>
      </c>
      <c r="C39" s="13" t="s">
        <v>20</v>
      </c>
      <c r="D39" s="30" t="s">
        <v>11</v>
      </c>
      <c r="E39" s="296">
        <f>IF('Calcul SF,HB,HB+SF '!$C$24&gt;=300,INT('Calcul SF,HB,HB+SF '!$C$24/300),0)</f>
        <v>0</v>
      </c>
      <c r="F39" s="286">
        <v>153</v>
      </c>
      <c r="G39" s="33">
        <f t="shared" si="1"/>
        <v>0</v>
      </c>
      <c r="H39" s="248">
        <f t="shared" si="0"/>
        <v>0</v>
      </c>
      <c r="I39" s="5"/>
      <c r="J39" s="5"/>
      <c r="K39" s="5"/>
      <c r="L39" s="5"/>
      <c r="M39" s="5"/>
      <c r="N39" s="5"/>
      <c r="O39" s="5"/>
      <c r="P39" s="5"/>
      <c r="Q39" s="5"/>
    </row>
    <row r="40" spans="1:17" ht="50.1" customHeight="1" thickBot="1">
      <c r="A40" s="12"/>
      <c r="B40" s="2" t="s">
        <v>35</v>
      </c>
      <c r="C40" s="13" t="s">
        <v>118</v>
      </c>
      <c r="D40" s="2" t="s">
        <v>11</v>
      </c>
      <c r="E40" s="28">
        <f>IF(AND('Calcul SF,HB,HB+SF '!$J$24=2, 'Calcul SF,HB,HB+SF '!$U$24=2, 'Calcul SF,HB,HB+SF '!$AF$24=2), 3,
IF(OR(AND('Calcul SF,HB,HB+SF '!$J$24=2, 'Calcul SF,HB,HB+SF '!$U$24=2),
      AND('Calcul SF,HB,HB+SF '!$J$24=2, 'Calcul SF,HB,HB+SF '!$AF$24=2),
      AND('Calcul SF,HB,HB+SF '!$U$24=2, 'Calcul SF,HB,HB+SF '!$AF$24=2)), 2,
IF(OR('Calcul SF,HB,HB+SF '!$J$24=2, 'Calcul SF,HB,HB+SF '!$U$24=2, 'Calcul SF,HB,HB+SF '!$AF$24=2), 1, 0)))</f>
        <v>0</v>
      </c>
      <c r="F40" s="286">
        <v>104</v>
      </c>
      <c r="G40" s="33">
        <f t="shared" si="1"/>
        <v>0</v>
      </c>
      <c r="H40" s="248">
        <f t="shared" si="0"/>
        <v>0</v>
      </c>
      <c r="I40" s="5"/>
      <c r="J40" s="5"/>
      <c r="K40" s="5"/>
      <c r="L40" s="5"/>
      <c r="M40" s="5"/>
      <c r="N40" s="5"/>
      <c r="O40" s="5"/>
      <c r="P40" s="5"/>
      <c r="Q40" s="5"/>
    </row>
    <row r="41" spans="1:17" ht="50.1" customHeight="1" thickBot="1">
      <c r="A41" s="12"/>
      <c r="B41" s="2" t="s">
        <v>36</v>
      </c>
      <c r="C41" s="13" t="s">
        <v>119</v>
      </c>
      <c r="D41" s="2" t="s">
        <v>11</v>
      </c>
      <c r="E41" s="28">
        <f>IF(AND('Calcul SF,HB,HB+SF '!$J$24=3, 'Calcul SF,HB,HB+SF '!$U$24=3, 'Calcul SF,HB,HB+SF '!$AF$24=3), 3,
IF(OR(AND('Calcul SF,HB,HB+SF '!$J$24=3, 'Calcul SF,HB,HB+SF '!$U$24=3),
      AND('Calcul SF,HB,HB+SF '!$J$24=3, 'Calcul SF,HB,HB+SF '!$AF$24=3),
      AND('Calcul SF,HB,HB+SF '!$U$24=3, 'Calcul SF,HB,HB+SF '!$AF$24=3)), 2,
IF(OR('Calcul SF,HB,HB+SF '!$J$24=3, 'Calcul SF,HB,HB+SF '!$U$24=3, 'Calcul SF,HB,HB+SF '!$AF$24=3), 1, 0)))</f>
        <v>0</v>
      </c>
      <c r="F41" s="286">
        <v>120</v>
      </c>
      <c r="G41" s="33">
        <f t="shared" si="1"/>
        <v>0</v>
      </c>
      <c r="H41" s="248">
        <f t="shared" si="0"/>
        <v>0</v>
      </c>
      <c r="I41" s="5"/>
      <c r="J41" s="5"/>
      <c r="K41" s="5"/>
      <c r="L41" s="5"/>
      <c r="M41" s="5"/>
      <c r="N41" s="5"/>
      <c r="O41" s="5"/>
      <c r="P41" s="5"/>
      <c r="Q41" s="5"/>
    </row>
    <row r="42" spans="1:17" ht="50.1" customHeight="1" thickBot="1">
      <c r="A42" s="12"/>
      <c r="B42" s="2" t="s">
        <v>37</v>
      </c>
      <c r="C42" s="13" t="s">
        <v>120</v>
      </c>
      <c r="D42" s="2" t="s">
        <v>11</v>
      </c>
      <c r="E42" s="28">
        <f>IF(AND('Calcul SF,HB,HB+SF '!$J$24=4, 'Calcul SF,HB,HB+SF '!$U$24=4, 'Calcul SF,HB,HB+SF '!$AF$24=4), 3,
IF(OR(AND('Calcul SF,HB,HB+SF '!$J$24=4, 'Calcul SF,HB,HB+SF '!$U$24=4),
      AND('Calcul SF,HB,HB+SF '!$J$24=4, 'Calcul SF,HB,HB+SF '!$AF$24=4),
      AND('Calcul SF,HB,HB+SF '!$U$24=4, 'Calcul SF,HB,HB+SF '!$AF$24=4)), 2,
IF(OR('Calcul SF,HB,HB+SF '!$J$24=4, 'Calcul SF,HB,HB+SF '!$U$24=4, 'Calcul SF,HB,HB+SF '!$AF$24=4), 1, 0)))</f>
        <v>0</v>
      </c>
      <c r="F42" s="286">
        <v>136</v>
      </c>
      <c r="G42" s="33">
        <f t="shared" si="1"/>
        <v>0</v>
      </c>
      <c r="H42" s="248">
        <f t="shared" si="0"/>
        <v>0</v>
      </c>
      <c r="I42" s="5"/>
      <c r="J42" s="5"/>
      <c r="K42" s="5"/>
      <c r="L42" s="5"/>
      <c r="M42" s="5"/>
      <c r="N42" s="5"/>
      <c r="O42" s="5"/>
      <c r="P42" s="5"/>
      <c r="Q42" s="5"/>
    </row>
    <row r="43" spans="1:17" ht="50.1" customHeight="1" thickBot="1">
      <c r="A43" s="12"/>
      <c r="B43" s="2" t="s">
        <v>23</v>
      </c>
      <c r="C43" s="13" t="s">
        <v>121</v>
      </c>
      <c r="D43" s="2" t="s">
        <v>11</v>
      </c>
      <c r="E43" s="28">
        <f>IF(AND('Calcul SF,HB,HB+SF '!$J$24=5, 'Calcul SF,HB,HB+SF '!$U$24=5, 'Calcul SF,HB,HB+SF '!$AF$24=5), 3,
IF(OR(AND('Calcul SF,HB,HB+SF '!$J$24=5, 'Calcul SF,HB,HB+SF '!$U$24=5),
      AND('Calcul SF,HB,HB+SF '!$J$24=5, 'Calcul SF,HB,HB+SF '!$AF$24=5),
      AND('Calcul SF,HB,HB+SF '!$U$24=5, 'Calcul SF,HB,HB+SF '!$AF$24=5)), 2,
IF(OR('Calcul SF,HB,HB+SF '!$J$24=5, 'Calcul SF,HB,HB+SF '!$U$24=5, 'Calcul SF,HB,HB+SF '!$AF$24=5), 1, 0)))</f>
        <v>0</v>
      </c>
      <c r="F43" s="286">
        <v>151</v>
      </c>
      <c r="G43" s="33">
        <f t="shared" si="1"/>
        <v>0</v>
      </c>
      <c r="H43" s="248">
        <f t="shared" si="0"/>
        <v>0</v>
      </c>
      <c r="I43" s="5"/>
      <c r="J43" s="5"/>
      <c r="K43" s="5"/>
      <c r="L43" s="5"/>
      <c r="M43" s="5"/>
      <c r="N43" s="5"/>
      <c r="O43" s="5"/>
      <c r="P43" s="5"/>
      <c r="Q43" s="5"/>
    </row>
    <row r="44" spans="1:17" ht="50.1" customHeight="1" thickBot="1">
      <c r="A44" s="12"/>
      <c r="B44" s="2" t="s">
        <v>22</v>
      </c>
      <c r="C44" s="13" t="s">
        <v>303</v>
      </c>
      <c r="D44" s="2" t="s">
        <v>11</v>
      </c>
      <c r="E44" s="28">
        <f>IF(AND('Calcul SF,HB,HB+SF '!$J$24=6, 'Calcul SF,HB,HB+SF '!$U$24=6, 'Calcul SF,HB,HB+SF '!$AF$24=6), 3,
IF(OR(AND('Calcul SF,HB,HB+SF '!$J$24=6, 'Calcul SF,HB,HB+SF '!$U$24=6),
      AND('Calcul SF,HB,HB+SF '!$J$24=6, 'Calcul SF,HB,HB+SF '!$AF$24=6),
      AND('Calcul SF,HB,HB+SF '!$U$24=6, 'Calcul SF,HB,HB+SF '!$AF$24=6)), 2,
IF(OR('Calcul SF,HB,HB+SF '!$J$24=6, 'Calcul SF,HB,HB+SF '!$U$24=6, 'Calcul SF,HB,HB+SF '!$AF$24=6), 1, 0)))</f>
        <v>0</v>
      </c>
      <c r="F44" s="286">
        <v>168</v>
      </c>
      <c r="G44" s="33">
        <f t="shared" si="1"/>
        <v>0</v>
      </c>
      <c r="H44" s="248">
        <f t="shared" si="0"/>
        <v>0</v>
      </c>
      <c r="I44" s="5"/>
      <c r="J44" s="5"/>
      <c r="K44" s="5"/>
      <c r="L44" s="5"/>
      <c r="M44" s="5"/>
      <c r="N44" s="5"/>
      <c r="O44" s="5"/>
      <c r="P44" s="5"/>
      <c r="Q44" s="5"/>
    </row>
    <row r="45" spans="1:17" ht="50.1" customHeight="1" thickBot="1">
      <c r="A45" s="12"/>
      <c r="B45" s="2" t="s">
        <v>21</v>
      </c>
      <c r="C45" s="13" t="s">
        <v>304</v>
      </c>
      <c r="D45" s="2" t="s">
        <v>11</v>
      </c>
      <c r="E45" s="28">
        <f>IF(AND('Calcul SF,HB,HB+SF '!$J$24=7, 'Calcul SF,HB,HB+SF '!$U$24=7, 'Calcul SF,HB,HB+SF '!$AF$24=7), 3,
IF(OR(AND('Calcul SF,HB,HB+SF '!$J$24=7, 'Calcul SF,HB,HB+SF '!$U$24=7),
      AND('Calcul SF,HB,HB+SF '!$J$24=7, 'Calcul SF,HB,HB+SF '!$AF$24=7),
      AND('Calcul SF,HB,HB+SF '!$U$24=7, 'Calcul SF,HB,HB+SF '!$AF$24=7)), 2,
IF(OR('Calcul SF,HB,HB+SF '!$J$24=7, 'Calcul SF,HB,HB+SF '!$U$24=7, 'Calcul SF,HB,HB+SF '!$AF$24=7), 1, 0)))</f>
        <v>0</v>
      </c>
      <c r="F45" s="286">
        <v>184</v>
      </c>
      <c r="G45" s="33">
        <f t="shared" si="1"/>
        <v>0</v>
      </c>
      <c r="H45" s="248">
        <f t="shared" si="0"/>
        <v>0</v>
      </c>
      <c r="I45" s="5"/>
      <c r="J45" s="5"/>
      <c r="K45" s="5"/>
      <c r="L45" s="5"/>
      <c r="M45" s="5"/>
      <c r="N45" s="5"/>
      <c r="O45" s="5"/>
      <c r="P45" s="5"/>
      <c r="Q45" s="5"/>
    </row>
    <row r="46" spans="1:17" ht="50.1" customHeight="1" thickBot="1">
      <c r="A46" s="12"/>
      <c r="B46" s="2" t="s">
        <v>38</v>
      </c>
      <c r="C46" s="13" t="s">
        <v>167</v>
      </c>
      <c r="D46" s="2" t="s">
        <v>11</v>
      </c>
      <c r="E46" s="28">
        <f>IF(AND('Calcul SF,HB,HB+SF '!$J$24=8, 'Calcul SF,HB,HB+SF '!$U$24=8, 'Calcul SF,HB,HB+SF '!$AF$24=8), 3,
IF(OR(AND('Calcul SF,HB,HB+SF '!$J$24=8, 'Calcul SF,HB,HB+SF '!$U$24=8),
      AND('Calcul SF,HB,HB+SF '!$J$24=8, 'Calcul SF,HB,HB+SF '!$AF$24=8),
      AND('Calcul SF,HB,HB+SF '!$U$24=8, 'Calcul SF,HB,HB+SF '!$AF$24=8)), 2,
IF(OR('Calcul SF,HB,HB+SF '!$J$24=8, 'Calcul SF,HB,HB+SF '!$U$24=8, 'Calcul SF,HB,HB+SF '!$AF$24=8), 1, 0)))</f>
        <v>0</v>
      </c>
      <c r="F46" s="286">
        <v>200</v>
      </c>
      <c r="G46" s="33">
        <f t="shared" si="1"/>
        <v>0</v>
      </c>
      <c r="H46" s="248">
        <f t="shared" si="0"/>
        <v>0</v>
      </c>
      <c r="I46" s="5"/>
      <c r="J46" s="5"/>
      <c r="K46" s="5"/>
      <c r="L46" s="5"/>
      <c r="M46" s="5"/>
      <c r="N46" s="5"/>
      <c r="O46" s="5"/>
      <c r="P46" s="5"/>
      <c r="Q46" s="5"/>
    </row>
    <row r="47" spans="1:17" ht="50.1" customHeight="1" thickBot="1">
      <c r="A47" s="12"/>
      <c r="B47" s="2" t="s">
        <v>39</v>
      </c>
      <c r="C47" s="13" t="s">
        <v>173</v>
      </c>
      <c r="D47" s="2" t="s">
        <v>11</v>
      </c>
      <c r="E47" s="28">
        <f>IF(AND('Calcul SF,HB,HB+SF '!$J$24=9, 'Calcul SF,HB,HB+SF '!$U$24=9, 'Calcul SF,HB,HB+SF '!$AF$24=9), 3,
IF(OR(AND('Calcul SF,HB,HB+SF '!$J$24=9, 'Calcul SF,HB,HB+SF '!$U$24=9),
      AND('Calcul SF,HB,HB+SF '!$J$24=9, 'Calcul SF,HB,HB+SF '!$AF$24=9),
      AND('Calcul SF,HB,HB+SF '!$U$24=9, 'Calcul SF,HB,HB+SF '!$AF$24=9)), 2,
IF(OR('Calcul SF,HB,HB+SF '!$J$24=9, 'Calcul SF,HB,HB+SF '!$U$24=9, 'Calcul SF,HB,HB+SF '!$AF$24=9), 1, 0)))</f>
        <v>0</v>
      </c>
      <c r="F47" s="286">
        <v>215</v>
      </c>
      <c r="G47" s="33">
        <f t="shared" si="1"/>
        <v>0</v>
      </c>
      <c r="H47" s="248">
        <f t="shared" si="0"/>
        <v>0</v>
      </c>
      <c r="I47" s="5"/>
      <c r="J47" s="5"/>
      <c r="K47" s="5"/>
      <c r="L47" s="5"/>
      <c r="M47" s="5"/>
      <c r="N47" s="5"/>
      <c r="O47" s="5"/>
      <c r="P47" s="5"/>
      <c r="Q47" s="5"/>
    </row>
    <row r="48" spans="1:17" ht="50.1" customHeight="1" thickBot="1">
      <c r="A48" s="12"/>
      <c r="B48" s="2" t="s">
        <v>40</v>
      </c>
      <c r="C48" s="13" t="s">
        <v>122</v>
      </c>
      <c r="D48" s="2" t="s">
        <v>11</v>
      </c>
      <c r="E48" s="28">
        <f>IF(AND('Calcul SF,HB,HB+SF '!$J$24=10, 'Calcul SF,HB,HB+SF '!$U$24=10, 'Calcul SF,HB,HB+SF '!$AF$24=10), 3,
IF(OR(AND('Calcul SF,HB,HB+SF '!$J$24=10, 'Calcul SF,HB,HB+SF '!$U$24=10),
      AND('Calcul SF,HB,HB+SF '!$J$24=10, 'Calcul SF,HB,HB+SF '!$AF$24=10),
      AND('Calcul SF,HB,HB+SF '!$U$24=10, 'Calcul SF,HB,HB+SF '!$AF$24=10)), 2,
IF(OR('Calcul SF,HB,HB+SF '!$J$24=10, 'Calcul SF,HB,HB+SF '!$U$24=10, 'Calcul SF,HB,HB+SF '!$AF$24=10), 1, 0)))</f>
        <v>0</v>
      </c>
      <c r="F48" s="286">
        <v>233</v>
      </c>
      <c r="G48" s="33">
        <f t="shared" si="1"/>
        <v>0</v>
      </c>
      <c r="H48" s="248">
        <f t="shared" si="0"/>
        <v>0</v>
      </c>
      <c r="I48" s="5"/>
      <c r="J48" s="5"/>
      <c r="K48" s="5"/>
      <c r="L48" s="5"/>
      <c r="M48" s="5"/>
      <c r="N48" s="5"/>
      <c r="O48" s="5"/>
      <c r="P48" s="5"/>
      <c r="Q48" s="5"/>
    </row>
    <row r="49" spans="1:17" ht="50.1" customHeight="1" thickBot="1">
      <c r="A49" s="12"/>
      <c r="B49" s="2" t="s">
        <v>41</v>
      </c>
      <c r="C49" s="13" t="s">
        <v>123</v>
      </c>
      <c r="D49" s="2" t="s">
        <v>11</v>
      </c>
      <c r="E49" s="28">
        <f>IF(AND('Calcul SF,HB,HB+SF '!$J$24=11, 'Calcul SF,HB,HB+SF '!$U$24=11, 'Calcul SF,HB,HB+SF '!$AF$24=11), 3,
IF(OR(AND('Calcul SF,HB,HB+SF '!$J$24=11, 'Calcul SF,HB,HB+SF '!$U$24=11),
      AND('Calcul SF,HB,HB+SF '!$J$24=11, 'Calcul SF,HB,HB+SF '!$AF$24=11),
      AND('Calcul SF,HB,HB+SF '!$U$24=11, 'Calcul SF,HB,HB+SF '!$AF$24=11)), 2,
IF(OR('Calcul SF,HB,HB+SF '!$J$24=11, 'Calcul SF,HB,HB+SF '!$U$24=11, 'Calcul SF,HB,HB+SF '!$AF$24=11), 1, 0)))</f>
        <v>0</v>
      </c>
      <c r="F49" s="286">
        <v>247</v>
      </c>
      <c r="G49" s="33">
        <f t="shared" si="1"/>
        <v>0</v>
      </c>
      <c r="H49" s="248">
        <f t="shared" si="0"/>
        <v>0</v>
      </c>
      <c r="I49" s="5"/>
      <c r="J49" s="5"/>
      <c r="K49" s="5"/>
      <c r="L49" s="5"/>
      <c r="M49" s="5"/>
      <c r="N49" s="5"/>
      <c r="O49" s="5"/>
      <c r="P49" s="5"/>
      <c r="Q49" s="5"/>
    </row>
    <row r="50" spans="1:17" ht="50.1" customHeight="1" thickBot="1">
      <c r="A50" s="12"/>
      <c r="B50" s="2" t="s">
        <v>42</v>
      </c>
      <c r="C50" s="13" t="s">
        <v>124</v>
      </c>
      <c r="D50" s="2" t="s">
        <v>11</v>
      </c>
      <c r="E50" s="28">
        <f>IF(AND('Calcul SF,HB,HB+SF '!$J$24=12, 'Calcul SF,HB,HB+SF '!$U$24=12, 'Calcul SF,HB,HB+SF '!$AF$24=12), 3,
IF(OR(AND('Calcul SF,HB,HB+SF '!$J$24=12, 'Calcul SF,HB,HB+SF '!$U$24=12),
      AND('Calcul SF,HB,HB+SF '!$J$24=12, 'Calcul SF,HB,HB+SF '!$AF$24=12),
      AND('Calcul SF,HB,HB+SF '!$U$24=12, 'Calcul SF,HB,HB+SF '!$AF$24=12)), 2,
IF(OR('Calcul SF,HB,HB+SF '!$J$24=12, 'Calcul SF,HB,HB+SF '!$U$24=12, 'Calcul SF,HB,HB+SF '!$AF$24=12), 1, 0)))</f>
        <v>0</v>
      </c>
      <c r="F50" s="286">
        <v>265</v>
      </c>
      <c r="G50" s="33">
        <f t="shared" si="1"/>
        <v>0</v>
      </c>
      <c r="H50" s="248">
        <f t="shared" si="0"/>
        <v>0</v>
      </c>
      <c r="I50" s="5"/>
      <c r="J50" s="5"/>
      <c r="K50" s="5"/>
      <c r="L50" s="5"/>
      <c r="M50" s="5"/>
      <c r="N50" s="5"/>
      <c r="O50" s="5"/>
      <c r="P50" s="5"/>
      <c r="Q50" s="5"/>
    </row>
    <row r="51" spans="1:17" ht="50.1" customHeight="1" thickBot="1">
      <c r="A51" s="12"/>
      <c r="B51" s="2" t="s">
        <v>43</v>
      </c>
      <c r="C51" s="13" t="s">
        <v>125</v>
      </c>
      <c r="D51" s="2" t="s">
        <v>11</v>
      </c>
      <c r="E51" s="28">
        <f>IF(AND('Calcul SF,HB,HB+SF '!$J$24=13, 'Calcul SF,HB,HB+SF '!$U$24=13, 'Calcul SF,HB,HB+SF '!$AF$24=13), 3,
IF(OR(AND('Calcul SF,HB,HB+SF '!$J$24=13, 'Calcul SF,HB,HB+SF '!$U$24=13),
      AND('Calcul SF,HB,HB+SF '!$J$24=13, 'Calcul SF,HB,HB+SF '!$AF$24=13),
      AND('Calcul SF,HB,HB+SF '!$U$24=13, 'Calcul SF,HB,HB+SF '!$AF$24=13)), 2,
IF(OR('Calcul SF,HB,HB+SF '!$J$24=13, 'Calcul SF,HB,HB+SF '!$U$24=13, 'Calcul SF,HB,HB+SF '!$AF$24=13), 1, 0)))</f>
        <v>0</v>
      </c>
      <c r="F51" s="286">
        <v>283</v>
      </c>
      <c r="G51" s="33">
        <f t="shared" si="1"/>
        <v>0</v>
      </c>
      <c r="H51" s="248">
        <f t="shared" si="0"/>
        <v>0</v>
      </c>
      <c r="I51" s="5"/>
      <c r="J51" s="5"/>
      <c r="K51" s="5"/>
      <c r="L51" s="5"/>
      <c r="M51" s="5"/>
      <c r="N51" s="5"/>
      <c r="O51" s="5"/>
      <c r="P51" s="5"/>
      <c r="Q51" s="5"/>
    </row>
    <row r="52" spans="1:17" ht="50.1" customHeight="1" thickBot="1">
      <c r="A52" s="12"/>
      <c r="B52" s="2" t="s">
        <v>44</v>
      </c>
      <c r="C52" s="13" t="s">
        <v>126</v>
      </c>
      <c r="D52" s="2" t="s">
        <v>11</v>
      </c>
      <c r="E52" s="28">
        <f>IF(AND('Calcul SF,HB,HB+SF '!$J$24=14, 'Calcul SF,HB,HB+SF '!$U$24=14, 'Calcul SF,HB,HB+SF '!$AF$24=14), 3,
IF(OR(AND('Calcul SF,HB,HB+SF '!$J$24=14, 'Calcul SF,HB,HB+SF '!$U$24=14),
      AND('Calcul SF,HB,HB+SF '!$J$24=14, 'Calcul SF,HB,HB+SF '!$AF$24=14),
      AND('Calcul SF,HB,HB+SF '!$U$24=14, 'Calcul SF,HB,HB+SF '!$AF$24=14)), 2,
IF(OR('Calcul SF,HB,HB+SF '!$J$24=14, 'Calcul SF,HB,HB+SF '!$U$24=14, 'Calcul SF,HB,HB+SF '!$AF$24=14), 1, 0)))</f>
        <v>0</v>
      </c>
      <c r="F52" s="286">
        <v>298</v>
      </c>
      <c r="G52" s="33">
        <f t="shared" si="1"/>
        <v>0</v>
      </c>
      <c r="H52" s="248">
        <f t="shared" si="0"/>
        <v>0</v>
      </c>
      <c r="I52" s="5"/>
      <c r="J52" s="5"/>
      <c r="K52" s="5"/>
      <c r="L52" s="5"/>
      <c r="M52" s="5"/>
      <c r="N52" s="5"/>
      <c r="O52" s="5"/>
      <c r="P52" s="5"/>
      <c r="Q52" s="5"/>
    </row>
    <row r="53" spans="1:17" ht="50.1" customHeight="1" thickBot="1">
      <c r="A53" s="12"/>
      <c r="B53" s="2" t="s">
        <v>45</v>
      </c>
      <c r="C53" s="13" t="s">
        <v>127</v>
      </c>
      <c r="D53" s="2" t="s">
        <v>11</v>
      </c>
      <c r="E53" s="28">
        <f>IF(AND('Calcul SF,HB,HB+SF '!$J$24=15, 'Calcul SF,HB,HB+SF '!$U$24=15, 'Calcul SF,HB,HB+SF '!$AF$24=15), 3,
IF(OR(AND('Calcul SF,HB,HB+SF '!$J$24=15, 'Calcul SF,HB,HB+SF '!$U$24=15),
      AND('Calcul SF,HB,HB+SF '!$J$24=15, 'Calcul SF,HB,HB+SF '!$AF$24=15),
      AND('Calcul SF,HB,HB+SF '!$U$24=15, 'Calcul SF,HB,HB+SF '!$AF$24=15)), 2,
IF(OR('Calcul SF,HB,HB+SF '!$J$24=15, 'Calcul SF,HB,HB+SF '!$U$24=15, 'Calcul SF,HB,HB+SF '!$AF$24=15), 1, 0)))</f>
        <v>0</v>
      </c>
      <c r="F53" s="286">
        <v>314</v>
      </c>
      <c r="G53" s="33">
        <f t="shared" si="1"/>
        <v>0</v>
      </c>
      <c r="H53" s="248">
        <f t="shared" si="0"/>
        <v>0</v>
      </c>
      <c r="I53" s="5"/>
      <c r="J53" s="5"/>
      <c r="K53" s="5"/>
      <c r="L53" s="5"/>
      <c r="M53" s="5"/>
      <c r="N53" s="5"/>
      <c r="O53" s="5"/>
      <c r="P53" s="5"/>
      <c r="Q53" s="5"/>
    </row>
    <row r="54" spans="1:17" ht="18" customHeight="1" thickBot="1">
      <c r="A54" s="326"/>
      <c r="B54" s="327" t="s">
        <v>129</v>
      </c>
      <c r="C54" s="328" t="s">
        <v>420</v>
      </c>
      <c r="D54" s="327" t="s">
        <v>11</v>
      </c>
      <c r="E54" s="327"/>
      <c r="F54" s="338">
        <v>54</v>
      </c>
      <c r="G54" s="329">
        <f t="shared" si="1"/>
        <v>0</v>
      </c>
      <c r="H54" s="330">
        <f t="shared" si="0"/>
        <v>0</v>
      </c>
      <c r="I54" s="331"/>
      <c r="J54" s="5"/>
      <c r="K54" s="5"/>
      <c r="L54" s="5"/>
      <c r="M54" s="5"/>
      <c r="N54" s="5"/>
      <c r="O54" s="5"/>
      <c r="P54" s="5"/>
      <c r="Q54" s="5"/>
    </row>
    <row r="55" spans="1:17" ht="18" customHeight="1" thickBot="1">
      <c r="A55" s="326"/>
      <c r="B55" s="327" t="s">
        <v>418</v>
      </c>
      <c r="C55" s="328" t="s">
        <v>419</v>
      </c>
      <c r="D55" s="327" t="s">
        <v>11</v>
      </c>
      <c r="E55" s="327"/>
      <c r="F55" s="338">
        <v>58</v>
      </c>
      <c r="G55" s="329">
        <f t="shared" si="1"/>
        <v>0</v>
      </c>
      <c r="H55" s="330">
        <f t="shared" si="0"/>
        <v>0</v>
      </c>
      <c r="I55" s="331"/>
      <c r="J55" s="5"/>
      <c r="K55" s="5"/>
      <c r="L55" s="5"/>
      <c r="M55" s="5"/>
      <c r="N55" s="5"/>
      <c r="O55" s="5"/>
      <c r="P55" s="5"/>
      <c r="Q55" s="5"/>
    </row>
    <row r="56" spans="1:17" ht="18" customHeight="1" thickBot="1">
      <c r="A56" s="12"/>
      <c r="B56" s="260" t="s">
        <v>421</v>
      </c>
      <c r="C56" s="332" t="s">
        <v>422</v>
      </c>
      <c r="D56" s="2" t="s">
        <v>11</v>
      </c>
      <c r="E56" s="297">
        <f>--OR('Calcul SF,HB,HB+SF '!$J$24=2,'Calcul SF,HB,HB+SF '!$J$24=3)
 +--OR('Calcul SF,HB,HB+SF '!$U$24=2,'Calcul SF,HB,HB+SF '!$U$24=3)
 +--OR('Calcul SF,HB,HB+SF '!$AF$24=2,'Calcul SF,HB,HB+SF '!$AF$24=3)</f>
        <v>0</v>
      </c>
      <c r="F56" s="286">
        <v>76</v>
      </c>
      <c r="G56" s="33">
        <f t="shared" si="1"/>
        <v>0</v>
      </c>
      <c r="H56" s="248">
        <f t="shared" si="0"/>
        <v>0</v>
      </c>
      <c r="I56" s="5"/>
      <c r="J56" s="5"/>
      <c r="K56" s="5"/>
      <c r="L56" s="5"/>
      <c r="M56" s="5"/>
      <c r="N56" s="5"/>
      <c r="O56" s="5"/>
      <c r="P56" s="5"/>
      <c r="Q56" s="5"/>
    </row>
    <row r="57" spans="1:17" ht="18" customHeight="1" thickBot="1">
      <c r="A57" s="334"/>
      <c r="B57" s="260" t="s">
        <v>412</v>
      </c>
      <c r="C57" s="332" t="s">
        <v>423</v>
      </c>
      <c r="D57" s="260" t="s">
        <v>11</v>
      </c>
      <c r="E57" s="333" cm="1">
        <f t="array" ref="E57">--OR('Calcul SF,HB,HB+SF '!$J$24={4,5,6,7})
 +--OR('Calcul SF,HB,HB+SF '!$U$24={4,5,6,7})
 +--OR('Calcul SF,HB,HB+SF '!$AF$24={4,5,6,7})</f>
        <v>0</v>
      </c>
      <c r="F57" s="339">
        <v>82</v>
      </c>
      <c r="G57" s="335">
        <f t="shared" si="1"/>
        <v>0</v>
      </c>
      <c r="H57" s="330">
        <f t="shared" si="0"/>
        <v>0</v>
      </c>
      <c r="I57" s="331"/>
      <c r="J57" s="5"/>
      <c r="K57" s="5"/>
      <c r="L57" s="5"/>
      <c r="M57" s="5"/>
      <c r="N57" s="5"/>
      <c r="O57" s="5"/>
      <c r="P57" s="5"/>
      <c r="Q57" s="5"/>
    </row>
    <row r="58" spans="1:17" ht="18" customHeight="1" thickBot="1">
      <c r="A58" s="334"/>
      <c r="B58" s="260" t="s">
        <v>130</v>
      </c>
      <c r="C58" s="332" t="s">
        <v>424</v>
      </c>
      <c r="D58" s="260" t="s">
        <v>11</v>
      </c>
      <c r="E58" s="333" cm="1">
        <f t="array" ref="E58">--OR('Calcul SF,HB,HB+SF '!$J$24={8,9,10,11})
 +--OR('Calcul SF,HB,HB+SF '!$U$24={8,9,10,11})
 +--OR('Calcul SF,HB,HB+SF '!$AF$24={8,9,10,11})</f>
        <v>0</v>
      </c>
      <c r="F58" s="339">
        <v>96</v>
      </c>
      <c r="G58" s="335">
        <f t="shared" si="1"/>
        <v>0</v>
      </c>
      <c r="H58" s="330">
        <f t="shared" si="0"/>
        <v>0</v>
      </c>
      <c r="I58" s="331"/>
      <c r="J58" s="5"/>
      <c r="K58" s="5"/>
      <c r="L58" s="5"/>
      <c r="M58" s="5"/>
      <c r="N58" s="5"/>
      <c r="O58" s="5"/>
      <c r="P58" s="5"/>
      <c r="Q58" s="5"/>
    </row>
    <row r="59" spans="1:17" ht="18" customHeight="1" thickBot="1">
      <c r="A59" s="334"/>
      <c r="B59" s="260" t="s">
        <v>131</v>
      </c>
      <c r="C59" s="332" t="s">
        <v>425</v>
      </c>
      <c r="D59" s="260" t="s">
        <v>11</v>
      </c>
      <c r="E59" s="333" cm="1">
        <f t="array" ref="E59">--OR('Calcul SF,HB,HB+SF '!$J$24={12,13})
 +--OR('Calcul SF,HB,HB+SF '!$U$24={12,13})
 +--OR('Calcul SF,HB,HB+SF '!$AF$24={12,13})</f>
        <v>0</v>
      </c>
      <c r="F59" s="339">
        <v>102</v>
      </c>
      <c r="G59" s="335">
        <f t="shared" si="1"/>
        <v>0</v>
      </c>
      <c r="H59" s="330">
        <f t="shared" si="0"/>
        <v>0</v>
      </c>
      <c r="I59" s="331"/>
      <c r="J59" s="5"/>
      <c r="K59" s="5"/>
      <c r="L59" s="5"/>
      <c r="M59" s="5"/>
      <c r="N59" s="5"/>
      <c r="O59" s="5"/>
      <c r="P59" s="5"/>
      <c r="Q59" s="5"/>
    </row>
    <row r="60" spans="1:17" ht="18" customHeight="1" thickBot="1">
      <c r="A60" s="334"/>
      <c r="B60" s="260" t="s">
        <v>325</v>
      </c>
      <c r="C60" s="332" t="s">
        <v>426</v>
      </c>
      <c r="D60" s="260" t="s">
        <v>11</v>
      </c>
      <c r="E60" s="333" cm="1">
        <f t="array" ref="E60">--OR('Calcul SF,HB,HB+SF '!$J$24={14,15})
 +--OR('Calcul SF,HB,HB+SF '!$U$24={14,15})
 +--OR('Calcul SF,HB,HB+SF '!$AF$24={14,15})</f>
        <v>0</v>
      </c>
      <c r="F60" s="339">
        <v>120</v>
      </c>
      <c r="G60" s="335">
        <f t="shared" si="1"/>
        <v>0</v>
      </c>
      <c r="H60" s="330">
        <f t="shared" si="0"/>
        <v>0</v>
      </c>
      <c r="I60" s="331"/>
      <c r="J60" s="5"/>
      <c r="K60" s="5"/>
      <c r="L60" s="5"/>
      <c r="M60" s="5"/>
      <c r="N60" s="5"/>
      <c r="O60" s="5"/>
      <c r="P60" s="5"/>
      <c r="Q60" s="5"/>
    </row>
    <row r="61" spans="1:17" ht="18" customHeight="1" thickBot="1">
      <c r="A61" s="324"/>
      <c r="B61" s="20" t="s">
        <v>84</v>
      </c>
      <c r="C61" s="318" t="s">
        <v>136</v>
      </c>
      <c r="D61" s="20" t="s">
        <v>13</v>
      </c>
      <c r="E61" s="20"/>
      <c r="F61" s="286">
        <v>4</v>
      </c>
      <c r="G61" s="325">
        <f>E61*F61</f>
        <v>0</v>
      </c>
      <c r="H61" s="248">
        <f t="shared" ref="H61:H68" si="2">E61</f>
        <v>0</v>
      </c>
      <c r="I61" s="5"/>
      <c r="J61" s="5"/>
      <c r="K61" s="5"/>
      <c r="L61" s="5"/>
      <c r="M61" s="5"/>
      <c r="N61" s="5"/>
      <c r="O61" s="5"/>
      <c r="P61" s="5"/>
      <c r="Q61" s="5"/>
    </row>
    <row r="62" spans="1:17" ht="18" customHeight="1" thickBot="1">
      <c r="A62" s="12"/>
      <c r="B62" s="2" t="s">
        <v>24</v>
      </c>
      <c r="C62" s="13" t="s">
        <v>137</v>
      </c>
      <c r="D62" s="2" t="s">
        <v>13</v>
      </c>
      <c r="E62" s="28">
        <f>'Calcul SF,HB,HB+SF '!I24</f>
        <v>0</v>
      </c>
      <c r="F62" s="286">
        <v>4</v>
      </c>
      <c r="G62" s="33">
        <f t="shared" si="1"/>
        <v>0</v>
      </c>
      <c r="H62" s="248">
        <f t="shared" si="2"/>
        <v>0</v>
      </c>
      <c r="I62" s="5"/>
      <c r="J62" s="5"/>
      <c r="K62" s="5"/>
      <c r="L62" s="5"/>
      <c r="M62" s="5"/>
      <c r="N62" s="5"/>
      <c r="O62" s="5"/>
      <c r="P62" s="5"/>
      <c r="Q62" s="5"/>
    </row>
    <row r="63" spans="1:17" ht="18" customHeight="1" thickBot="1">
      <c r="A63" s="12"/>
      <c r="B63" s="2">
        <v>91001</v>
      </c>
      <c r="C63" s="13" t="s">
        <v>89</v>
      </c>
      <c r="D63" s="2" t="s">
        <v>13</v>
      </c>
      <c r="E63" s="28"/>
      <c r="F63" s="286">
        <v>12</v>
      </c>
      <c r="G63" s="33">
        <f t="shared" si="1"/>
        <v>0</v>
      </c>
      <c r="H63" s="248">
        <f t="shared" si="2"/>
        <v>0</v>
      </c>
      <c r="I63" s="5"/>
      <c r="J63" s="5"/>
      <c r="K63" s="5"/>
      <c r="L63" s="5"/>
      <c r="M63" s="5"/>
      <c r="N63" s="5"/>
      <c r="O63" s="5"/>
      <c r="P63" s="5"/>
      <c r="Q63" s="5"/>
    </row>
    <row r="64" spans="1:17" ht="18" customHeight="1" thickBot="1">
      <c r="A64" s="12"/>
      <c r="B64" s="2">
        <v>91002</v>
      </c>
      <c r="C64" s="13" t="s">
        <v>89</v>
      </c>
      <c r="D64" s="2" t="s">
        <v>13</v>
      </c>
      <c r="E64" s="28"/>
      <c r="F64" s="286">
        <v>15</v>
      </c>
      <c r="G64" s="33">
        <f>E64*F64</f>
        <v>0</v>
      </c>
      <c r="H64" s="248">
        <f t="shared" si="2"/>
        <v>0</v>
      </c>
      <c r="I64" s="5"/>
      <c r="J64" s="5"/>
      <c r="K64" s="5"/>
      <c r="L64" s="5"/>
      <c r="M64" s="5"/>
      <c r="N64" s="5"/>
      <c r="O64" s="5"/>
      <c r="P64" s="5"/>
      <c r="Q64" s="5"/>
    </row>
    <row r="65" spans="1:17" ht="18" customHeight="1" thickBot="1">
      <c r="A65" s="12"/>
      <c r="B65" s="2">
        <v>91201</v>
      </c>
      <c r="C65" s="13" t="s">
        <v>90</v>
      </c>
      <c r="D65" s="2" t="s">
        <v>13</v>
      </c>
      <c r="E65" s="28"/>
      <c r="F65" s="286">
        <v>21</v>
      </c>
      <c r="G65" s="33">
        <f>E65*F65</f>
        <v>0</v>
      </c>
      <c r="H65" s="248">
        <f t="shared" si="2"/>
        <v>0</v>
      </c>
      <c r="I65" s="5"/>
      <c r="J65" s="5"/>
      <c r="K65" s="5"/>
      <c r="L65" s="5"/>
      <c r="M65" s="5"/>
      <c r="N65" s="5"/>
      <c r="O65" s="5"/>
      <c r="P65" s="5"/>
      <c r="Q65" s="5"/>
    </row>
    <row r="66" spans="1:17" ht="18" customHeight="1" thickBot="1">
      <c r="A66" s="12"/>
      <c r="B66" s="2">
        <v>91202</v>
      </c>
      <c r="C66" s="13" t="s">
        <v>90</v>
      </c>
      <c r="D66" s="2" t="s">
        <v>13</v>
      </c>
      <c r="E66" s="28"/>
      <c r="F66" s="286">
        <v>32</v>
      </c>
      <c r="G66" s="33">
        <f>E66*F66</f>
        <v>0</v>
      </c>
      <c r="H66" s="248">
        <f t="shared" si="2"/>
        <v>0</v>
      </c>
      <c r="I66" s="5"/>
      <c r="J66" s="5"/>
      <c r="K66" s="5"/>
      <c r="L66" s="5"/>
      <c r="M66" s="5"/>
      <c r="N66" s="5"/>
      <c r="O66" s="5"/>
      <c r="P66" s="5"/>
      <c r="Q66" s="5"/>
    </row>
    <row r="67" spans="1:17" ht="18" customHeight="1" thickBot="1">
      <c r="A67" s="12"/>
      <c r="B67" s="2">
        <v>91203</v>
      </c>
      <c r="C67" s="13" t="s">
        <v>90</v>
      </c>
      <c r="D67" s="2" t="s">
        <v>13</v>
      </c>
      <c r="E67" s="28"/>
      <c r="F67" s="286">
        <v>49</v>
      </c>
      <c r="G67" s="33">
        <f>E67*F67</f>
        <v>0</v>
      </c>
      <c r="H67" s="248">
        <f t="shared" si="2"/>
        <v>0</v>
      </c>
      <c r="I67" s="5"/>
      <c r="J67" s="5"/>
      <c r="K67" s="5"/>
      <c r="L67" s="5"/>
      <c r="M67" s="5"/>
      <c r="N67" s="5"/>
      <c r="O67" s="5"/>
      <c r="P67" s="5"/>
      <c r="Q67" s="5"/>
    </row>
    <row r="68" spans="1:17" ht="27.9" customHeight="1" thickBot="1">
      <c r="A68" s="161"/>
      <c r="B68" s="272" t="s">
        <v>128</v>
      </c>
      <c r="C68" s="163" t="s">
        <v>427</v>
      </c>
      <c r="D68" s="272" t="s">
        <v>11</v>
      </c>
      <c r="E68" s="274">
        <f>IF(AND('Calcul SF,HB,HB+SF '!$J$24&gt;0, 'Calcul SF,HB,HB+SF '!$U$24&gt;0, 'Calcul SF,HB,HB+SF '!$AF$24&gt;0), 3,
    IF(OR(AND('Calcul SF,HB,HB+SF '!$J$24&gt;0, 'Calcul SF,HB,HB+SF '!$U$24&gt;0),
          AND('Calcul SF,HB,HB+SF '!$J$24&gt;0, 'Calcul SF,HB,HB+SF '!$AF$24&gt;0),
          AND('Calcul SF,HB,HB+SF '!$U$24&gt;0, 'Calcul SF,HB,HB+SF '!$AF$24&gt;0)), 2,
    IF(OR('Calcul SF,HB,HB+SF '!$J$24&gt;0, 'Calcul SF,HB,HB+SF '!$U$24&gt;0, 'Calcul SF,HB,HB+SF '!$AF$24&gt;0), 1, 0)))</f>
        <v>0</v>
      </c>
      <c r="F68" s="288">
        <v>342</v>
      </c>
      <c r="G68" s="164">
        <f>E68*F68</f>
        <v>0</v>
      </c>
      <c r="H68" s="248">
        <f t="shared" si="2"/>
        <v>0</v>
      </c>
      <c r="I68" s="5"/>
      <c r="J68" s="5"/>
      <c r="K68" s="5"/>
      <c r="L68" s="5"/>
      <c r="M68" s="5"/>
      <c r="N68" s="5"/>
      <c r="O68" s="5"/>
      <c r="P68" s="5"/>
      <c r="Q68" s="5"/>
    </row>
    <row r="69" spans="1:17" ht="18" customHeight="1" thickTop="1" thickBot="1">
      <c r="A69" s="537" t="s">
        <v>25</v>
      </c>
      <c r="B69" s="538"/>
      <c r="C69" s="538"/>
      <c r="D69" s="538"/>
      <c r="E69" s="265"/>
      <c r="F69" s="10"/>
      <c r="G69" s="336">
        <f>SUM(G21:G68)</f>
        <v>0</v>
      </c>
      <c r="H69" s="249">
        <f>G69</f>
        <v>0</v>
      </c>
      <c r="I69" s="5"/>
      <c r="J69" s="5"/>
      <c r="K69" s="5"/>
      <c r="L69" s="5"/>
      <c r="M69" s="5"/>
      <c r="N69" s="5"/>
      <c r="O69" s="5"/>
      <c r="P69" s="5"/>
      <c r="Q69" s="5"/>
    </row>
    <row r="70" spans="1:17" ht="18" customHeight="1" thickTop="1" thickBot="1">
      <c r="A70" s="537" t="s">
        <v>156</v>
      </c>
      <c r="B70" s="573"/>
      <c r="C70" s="573"/>
      <c r="D70" s="573"/>
      <c r="E70" s="304">
        <v>0.05</v>
      </c>
      <c r="F70" s="10"/>
      <c r="G70" s="305">
        <f>G69*(1-E70)</f>
        <v>0</v>
      </c>
      <c r="H70" s="249">
        <f>G70</f>
        <v>0</v>
      </c>
      <c r="I70" s="5"/>
      <c r="J70" s="5"/>
      <c r="K70" s="5"/>
      <c r="L70" s="5"/>
      <c r="M70" s="5"/>
      <c r="N70" s="5"/>
      <c r="O70" s="5"/>
      <c r="P70" s="5"/>
      <c r="Q70" s="5"/>
    </row>
    <row r="71" spans="1:17" ht="18" customHeight="1" thickTop="1" thickBot="1">
      <c r="A71" s="522" t="s">
        <v>143</v>
      </c>
      <c r="B71" s="540"/>
      <c r="C71" s="540"/>
      <c r="D71" s="540"/>
      <c r="E71" s="42"/>
      <c r="F71" s="43"/>
      <c r="G71" s="48">
        <f>G70*1.21</f>
        <v>0</v>
      </c>
      <c r="H71" s="249">
        <f>G71</f>
        <v>0</v>
      </c>
      <c r="I71" s="5"/>
      <c r="J71" s="5"/>
      <c r="K71" s="5"/>
      <c r="L71" s="5"/>
      <c r="M71" s="5"/>
      <c r="N71" s="5"/>
      <c r="O71" s="5"/>
      <c r="P71" s="5"/>
      <c r="Q71" s="5"/>
    </row>
    <row r="72" spans="1:17" ht="16.5" customHeight="1" thickTop="1">
      <c r="A72" s="14"/>
      <c r="B72" s="15"/>
      <c r="C72" s="15"/>
      <c r="D72" s="15"/>
      <c r="E72" s="15"/>
      <c r="F72" s="15"/>
      <c r="G72" s="15"/>
      <c r="H72" s="250">
        <f>G89</f>
        <v>0</v>
      </c>
      <c r="I72" s="5"/>
      <c r="J72" s="5"/>
      <c r="K72" s="5"/>
      <c r="L72" s="5"/>
      <c r="M72" s="5"/>
      <c r="N72" s="5"/>
      <c r="O72" s="5"/>
      <c r="P72" s="5"/>
      <c r="Q72" s="5"/>
    </row>
    <row r="73" spans="1:17" ht="22.5" customHeight="1">
      <c r="A73" s="544"/>
      <c r="B73" s="544"/>
      <c r="C73" s="544"/>
      <c r="D73" s="544"/>
      <c r="E73" s="544"/>
      <c r="F73" s="544"/>
      <c r="G73" s="544"/>
      <c r="H73" s="250"/>
      <c r="I73" s="5"/>
      <c r="J73" s="5"/>
      <c r="K73" s="5"/>
      <c r="L73" s="5"/>
      <c r="M73" s="5"/>
      <c r="N73" s="5"/>
      <c r="O73" s="5"/>
      <c r="P73" s="5"/>
      <c r="Q73" s="5"/>
    </row>
    <row r="74" spans="1:17" ht="14.25" customHeight="1">
      <c r="A74" s="14" t="s">
        <v>184</v>
      </c>
      <c r="B74" s="15"/>
      <c r="C74" s="15"/>
      <c r="D74" s="15"/>
      <c r="E74" s="15"/>
      <c r="F74" s="15"/>
      <c r="G74" s="15"/>
      <c r="H74" s="250" t="s">
        <v>83</v>
      </c>
      <c r="I74" s="5"/>
      <c r="J74" s="5"/>
      <c r="K74" s="5"/>
      <c r="L74" s="5"/>
      <c r="M74" s="5"/>
      <c r="N74" s="5"/>
      <c r="O74" s="5"/>
      <c r="P74" s="5"/>
      <c r="Q74" s="5"/>
    </row>
    <row r="75" spans="1:17" ht="18" customHeight="1">
      <c r="A75" s="541" t="s">
        <v>287</v>
      </c>
      <c r="B75" s="541"/>
      <c r="C75" s="541"/>
      <c r="D75" s="541"/>
      <c r="E75" s="541"/>
      <c r="F75" s="541"/>
      <c r="G75" s="541"/>
      <c r="H75" s="250">
        <f>SUM(H83:H121)</f>
        <v>0</v>
      </c>
      <c r="I75" s="5"/>
      <c r="J75" s="5"/>
      <c r="K75" s="5"/>
      <c r="L75" s="5"/>
      <c r="M75" s="5"/>
      <c r="N75" s="5"/>
      <c r="O75" s="5"/>
      <c r="P75" s="5"/>
      <c r="Q75" s="5"/>
    </row>
    <row r="76" spans="1:17" ht="20.25" customHeight="1">
      <c r="A76" s="72"/>
      <c r="B76" s="72"/>
      <c r="C76" s="72"/>
      <c r="D76" s="72"/>
      <c r="E76" s="72"/>
      <c r="F76" s="72"/>
      <c r="G76" s="72"/>
      <c r="H76" s="250"/>
      <c r="I76" s="5"/>
      <c r="J76" s="5"/>
      <c r="K76" s="5"/>
      <c r="L76" s="5"/>
      <c r="M76" s="5"/>
      <c r="N76" s="5"/>
      <c r="O76" s="5"/>
      <c r="P76" s="5"/>
      <c r="Q76" s="5"/>
    </row>
    <row r="77" spans="1:17" ht="18" customHeight="1">
      <c r="A77" s="533" t="s">
        <v>26</v>
      </c>
      <c r="B77" s="533"/>
      <c r="C77" s="533"/>
      <c r="D77" s="533"/>
      <c r="E77" s="533"/>
      <c r="F77" s="533"/>
      <c r="G77" s="533"/>
      <c r="H77" s="250">
        <f>G94</f>
        <v>0</v>
      </c>
      <c r="I77" s="5"/>
      <c r="J77" s="5"/>
      <c r="K77" s="5"/>
      <c r="L77" s="5"/>
      <c r="M77" s="5"/>
      <c r="N77" s="5"/>
      <c r="O77" s="5"/>
      <c r="P77" s="5"/>
      <c r="Q77" s="5"/>
    </row>
    <row r="78" spans="1:17">
      <c r="A78" s="544"/>
      <c r="B78" s="544"/>
      <c r="C78" s="544"/>
      <c r="D78" s="544"/>
      <c r="E78" s="544"/>
      <c r="F78" s="544"/>
      <c r="G78" s="544"/>
      <c r="H78" s="249">
        <f>G94</f>
        <v>0</v>
      </c>
      <c r="I78" s="5"/>
      <c r="J78" s="5"/>
      <c r="K78" s="5"/>
      <c r="L78" s="5"/>
      <c r="M78" s="5"/>
      <c r="N78" s="5"/>
      <c r="O78" s="5"/>
      <c r="P78" s="5"/>
      <c r="Q78" s="5"/>
    </row>
    <row r="79" spans="1:17" ht="11.25" customHeight="1" thickBot="1">
      <c r="A79" s="16"/>
      <c r="B79" s="15"/>
      <c r="C79" s="15"/>
      <c r="D79" s="15"/>
      <c r="E79" s="15"/>
      <c r="F79" s="15"/>
      <c r="G79" s="15"/>
      <c r="H79" s="249">
        <f>G94</f>
        <v>0</v>
      </c>
      <c r="I79" s="5"/>
      <c r="J79" s="5"/>
      <c r="K79" s="5"/>
      <c r="L79" s="5"/>
      <c r="M79" s="5"/>
      <c r="N79" s="5"/>
      <c r="O79" s="5"/>
      <c r="P79" s="5"/>
      <c r="Q79" s="5"/>
    </row>
    <row r="80" spans="1:17" ht="18.75" customHeight="1" thickTop="1">
      <c r="A80" s="6" t="s">
        <v>1</v>
      </c>
      <c r="B80" s="518" t="s">
        <v>3</v>
      </c>
      <c r="C80" s="518" t="s">
        <v>4</v>
      </c>
      <c r="D80" s="518" t="s">
        <v>5</v>
      </c>
      <c r="E80" s="518" t="s">
        <v>6</v>
      </c>
      <c r="F80" s="7" t="s">
        <v>7</v>
      </c>
      <c r="G80" s="8" t="s">
        <v>9</v>
      </c>
      <c r="H80" s="249">
        <f>G94</f>
        <v>0</v>
      </c>
      <c r="I80" s="5"/>
      <c r="J80" s="5"/>
      <c r="K80" s="5"/>
      <c r="L80" s="5"/>
      <c r="M80" s="5"/>
      <c r="N80" s="5"/>
      <c r="O80" s="5"/>
      <c r="P80" s="5"/>
      <c r="Q80" s="5"/>
    </row>
    <row r="81" spans="1:24" ht="24" customHeight="1" thickBot="1">
      <c r="A81" s="17" t="s">
        <v>2</v>
      </c>
      <c r="B81" s="527"/>
      <c r="C81" s="527"/>
      <c r="D81" s="527"/>
      <c r="E81" s="527"/>
      <c r="F81" s="18" t="s">
        <v>8</v>
      </c>
      <c r="G81" s="19" t="s">
        <v>8</v>
      </c>
      <c r="H81" s="249">
        <f>G94</f>
        <v>0</v>
      </c>
      <c r="I81" s="5"/>
      <c r="J81" s="5"/>
      <c r="K81" s="5"/>
      <c r="L81" s="5"/>
      <c r="M81" s="5"/>
      <c r="N81" s="5"/>
      <c r="O81" s="5"/>
      <c r="P81" s="5"/>
      <c r="Q81" s="5"/>
    </row>
    <row r="82" spans="1:24" ht="18" customHeight="1" thickTop="1" thickBot="1">
      <c r="A82" s="531" t="s">
        <v>27</v>
      </c>
      <c r="B82" s="532"/>
      <c r="C82" s="532"/>
      <c r="D82" s="264"/>
      <c r="E82" s="264"/>
      <c r="F82" s="264"/>
      <c r="G82" s="8"/>
      <c r="H82" s="248">
        <f>SUM(H83:H85)</f>
        <v>0</v>
      </c>
      <c r="I82" s="5"/>
      <c r="J82" s="5"/>
      <c r="K82" s="5"/>
      <c r="L82" s="5"/>
      <c r="M82" s="5"/>
      <c r="N82" s="5"/>
      <c r="O82" s="5"/>
      <c r="P82" s="5"/>
      <c r="Q82" s="5"/>
      <c r="S82" s="5"/>
      <c r="T82" s="5"/>
      <c r="U82" s="5"/>
      <c r="V82" s="5"/>
      <c r="W82" s="5"/>
      <c r="X82" s="5"/>
    </row>
    <row r="83" spans="1:24" ht="27.9" customHeight="1" thickTop="1" thickBot="1">
      <c r="A83" s="266"/>
      <c r="B83" s="267" t="s">
        <v>28</v>
      </c>
      <c r="C83" s="269" t="s">
        <v>182</v>
      </c>
      <c r="D83" s="267" t="s">
        <v>11</v>
      </c>
      <c r="E83" s="307">
        <f>'Calcul SF,HB,HB+SF '!K22</f>
        <v>0</v>
      </c>
      <c r="F83" s="287">
        <v>179</v>
      </c>
      <c r="G83" s="270">
        <f>E83*F83</f>
        <v>0</v>
      </c>
      <c r="H83" s="248">
        <f>E83</f>
        <v>0</v>
      </c>
      <c r="I83" s="5"/>
      <c r="J83" s="5"/>
      <c r="K83" s="5"/>
      <c r="L83" s="5"/>
      <c r="M83" s="5"/>
      <c r="N83" s="5"/>
      <c r="O83" s="5"/>
      <c r="P83" s="5"/>
      <c r="Q83" s="5"/>
    </row>
    <row r="84" spans="1:24" ht="18" customHeight="1" thickBot="1">
      <c r="A84" s="12"/>
      <c r="B84" s="3" t="s">
        <v>29</v>
      </c>
      <c r="C84" s="13" t="s">
        <v>30</v>
      </c>
      <c r="D84" s="3" t="s">
        <v>11</v>
      </c>
      <c r="E84" s="299">
        <f>'Calcul SF,HB,HB+SF '!H24</f>
        <v>0</v>
      </c>
      <c r="F84" s="286">
        <v>17</v>
      </c>
      <c r="G84" s="33">
        <f t="shared" ref="G84:G89" si="3">E84*F84</f>
        <v>0</v>
      </c>
      <c r="H84" s="248">
        <f t="shared" ref="H84:H89" si="4">E84</f>
        <v>0</v>
      </c>
      <c r="I84" s="5"/>
      <c r="J84" s="5"/>
      <c r="K84" s="5"/>
      <c r="L84" s="5"/>
      <c r="M84" s="5"/>
      <c r="N84" s="5"/>
      <c r="O84" s="5"/>
      <c r="P84" s="5"/>
      <c r="Q84" s="5"/>
    </row>
    <row r="85" spans="1:24" ht="18" customHeight="1" thickBot="1">
      <c r="A85" s="35"/>
      <c r="B85" s="40" t="s">
        <v>31</v>
      </c>
      <c r="C85" s="37" t="s">
        <v>183</v>
      </c>
      <c r="D85" s="40" t="s">
        <v>11</v>
      </c>
      <c r="E85" s="300">
        <f>IF(OR('Calcul SF,HB,HB+SF '!J22=0),0,'Calcul SF,HB,HB+SF '!J22-1)</f>
        <v>0</v>
      </c>
      <c r="F85" s="303">
        <v>41</v>
      </c>
      <c r="G85" s="38">
        <f t="shared" si="3"/>
        <v>0</v>
      </c>
      <c r="H85" s="248">
        <f t="shared" si="4"/>
        <v>0</v>
      </c>
      <c r="I85" s="5"/>
      <c r="J85" s="5"/>
      <c r="K85" s="5"/>
      <c r="L85" s="5"/>
      <c r="M85" s="5"/>
      <c r="N85" s="5"/>
      <c r="O85" s="5"/>
      <c r="P85" s="5"/>
      <c r="Q85" s="5"/>
    </row>
    <row r="86" spans="1:24" ht="18" customHeight="1" thickTop="1" thickBot="1">
      <c r="A86" s="571" t="s">
        <v>326</v>
      </c>
      <c r="B86" s="572"/>
      <c r="C86" s="572"/>
      <c r="D86" s="165"/>
      <c r="E86" s="165"/>
      <c r="F86" s="309"/>
      <c r="G86" s="166"/>
      <c r="H86" s="248">
        <f>SUM(H87:H89)</f>
        <v>0</v>
      </c>
      <c r="I86" s="5"/>
      <c r="J86" s="5"/>
      <c r="K86" s="5"/>
      <c r="L86" s="5"/>
      <c r="M86" s="5"/>
      <c r="N86" s="5"/>
      <c r="O86" s="5"/>
      <c r="P86" s="5"/>
      <c r="Q86" s="5"/>
    </row>
    <row r="87" spans="1:24" ht="27.9" customHeight="1" thickTop="1" thickBot="1">
      <c r="A87" s="12"/>
      <c r="B87" s="3" t="s">
        <v>28</v>
      </c>
      <c r="C87" s="13" t="s">
        <v>182</v>
      </c>
      <c r="D87" s="3" t="s">
        <v>11</v>
      </c>
      <c r="E87" s="299">
        <f>'Calcul SF,HB,HB+SF '!V22</f>
        <v>0</v>
      </c>
      <c r="F87" s="287">
        <v>179</v>
      </c>
      <c r="G87" s="33">
        <f t="shared" si="3"/>
        <v>0</v>
      </c>
      <c r="H87" s="248">
        <f t="shared" si="4"/>
        <v>0</v>
      </c>
      <c r="I87" s="5"/>
      <c r="J87" s="5"/>
      <c r="K87" s="5"/>
      <c r="L87" s="5"/>
      <c r="M87" s="5"/>
      <c r="N87" s="5"/>
      <c r="O87" s="5"/>
      <c r="P87" s="5"/>
      <c r="Q87" s="5"/>
    </row>
    <row r="88" spans="1:24" ht="18" customHeight="1" thickBot="1">
      <c r="A88" s="12"/>
      <c r="B88" s="3" t="s">
        <v>29</v>
      </c>
      <c r="C88" s="13" t="s">
        <v>30</v>
      </c>
      <c r="D88" s="3" t="s">
        <v>11</v>
      </c>
      <c r="E88" s="299">
        <f>'Calcul SF,HB,HB+SF '!S24</f>
        <v>0</v>
      </c>
      <c r="F88" s="286">
        <v>17</v>
      </c>
      <c r="G88" s="33">
        <f t="shared" si="3"/>
        <v>0</v>
      </c>
      <c r="H88" s="248">
        <f t="shared" si="4"/>
        <v>0</v>
      </c>
      <c r="I88" s="5"/>
      <c r="J88" s="5"/>
      <c r="K88" s="5"/>
      <c r="L88" s="5"/>
      <c r="M88" s="5"/>
      <c r="N88" s="5"/>
      <c r="O88" s="5"/>
      <c r="P88" s="5"/>
      <c r="Q88" s="5"/>
    </row>
    <row r="89" spans="1:24" ht="18" customHeight="1" thickBot="1">
      <c r="A89" s="35"/>
      <c r="B89" s="40" t="s">
        <v>31</v>
      </c>
      <c r="C89" s="37" t="s">
        <v>183</v>
      </c>
      <c r="D89" s="40" t="s">
        <v>11</v>
      </c>
      <c r="E89" s="300">
        <f>IF(OR('Calcul SF,HB,HB+SF '!U22=0),0,'Calcul SF,HB,HB+SF '!U22-1)</f>
        <v>0</v>
      </c>
      <c r="F89" s="303">
        <v>41</v>
      </c>
      <c r="G89" s="38">
        <f t="shared" si="3"/>
        <v>0</v>
      </c>
      <c r="H89" s="248">
        <f t="shared" si="4"/>
        <v>0</v>
      </c>
      <c r="I89" s="5"/>
      <c r="J89" s="5"/>
      <c r="K89" s="5"/>
      <c r="L89" s="5"/>
      <c r="M89" s="5"/>
      <c r="N89" s="5"/>
      <c r="O89" s="5"/>
      <c r="P89" s="5"/>
      <c r="Q89" s="5"/>
    </row>
    <row r="90" spans="1:24" ht="18" customHeight="1" thickTop="1" thickBot="1">
      <c r="A90" s="571" t="s">
        <v>32</v>
      </c>
      <c r="B90" s="572"/>
      <c r="C90" s="572"/>
      <c r="D90" s="165"/>
      <c r="E90" s="165"/>
      <c r="F90" s="309"/>
      <c r="G90" s="166"/>
      <c r="H90" s="248">
        <f>SUM(H91:H93)</f>
        <v>0</v>
      </c>
      <c r="I90" s="5"/>
      <c r="J90" s="5"/>
      <c r="K90" s="5"/>
      <c r="L90" s="5"/>
      <c r="M90" s="5"/>
      <c r="N90" s="5"/>
      <c r="O90" s="5"/>
      <c r="P90" s="5"/>
      <c r="Q90" s="5"/>
    </row>
    <row r="91" spans="1:24" ht="25.5" customHeight="1" thickTop="1" thickBot="1">
      <c r="A91" s="266"/>
      <c r="B91" s="267" t="s">
        <v>28</v>
      </c>
      <c r="C91" s="269" t="s">
        <v>182</v>
      </c>
      <c r="D91" s="267" t="s">
        <v>11</v>
      </c>
      <c r="E91" s="307">
        <f>'Calcul SF,HB,HB+SF '!AE22</f>
        <v>0</v>
      </c>
      <c r="F91" s="287">
        <v>179</v>
      </c>
      <c r="G91" s="270">
        <f>E91*F91</f>
        <v>0</v>
      </c>
      <c r="H91" s="248">
        <f>E91</f>
        <v>0</v>
      </c>
      <c r="I91" s="5"/>
      <c r="J91" s="5"/>
      <c r="K91" s="5"/>
      <c r="L91" s="5"/>
      <c r="M91" s="5"/>
      <c r="N91" s="5"/>
      <c r="O91" s="5"/>
      <c r="P91" s="5"/>
      <c r="Q91" s="5"/>
    </row>
    <row r="92" spans="1:24" ht="18" customHeight="1" thickBot="1">
      <c r="A92" s="12"/>
      <c r="B92" s="3" t="s">
        <v>29</v>
      </c>
      <c r="C92" s="13" t="s">
        <v>30</v>
      </c>
      <c r="D92" s="3" t="s">
        <v>11</v>
      </c>
      <c r="E92" s="299">
        <f>'Calcul SF,HB,HB+SF '!AD24</f>
        <v>0</v>
      </c>
      <c r="F92" s="286">
        <v>17</v>
      </c>
      <c r="G92" s="33">
        <f>E92*F92</f>
        <v>0</v>
      </c>
      <c r="H92" s="248">
        <f>E92</f>
        <v>0</v>
      </c>
      <c r="I92" s="5"/>
      <c r="J92" s="5"/>
      <c r="K92" s="5"/>
      <c r="L92" s="5"/>
      <c r="M92" s="5"/>
      <c r="N92" s="5"/>
      <c r="O92" s="5"/>
      <c r="P92" s="5"/>
      <c r="Q92" s="5"/>
    </row>
    <row r="93" spans="1:24" ht="18" customHeight="1" thickBot="1">
      <c r="A93" s="161"/>
      <c r="B93" s="162" t="s">
        <v>31</v>
      </c>
      <c r="C93" s="163" t="s">
        <v>183</v>
      </c>
      <c r="D93" s="162" t="s">
        <v>11</v>
      </c>
      <c r="E93" s="301">
        <f>IF(OR('Calcul SF,HB,HB+SF '!AF22=0),0,'Calcul SF,HB,HB+SF '!AF22-1)</f>
        <v>0</v>
      </c>
      <c r="F93" s="288">
        <v>41</v>
      </c>
      <c r="G93" s="164">
        <f>E93*F93</f>
        <v>0</v>
      </c>
      <c r="H93" s="248">
        <f>E93</f>
        <v>0</v>
      </c>
      <c r="I93" s="5"/>
      <c r="J93" s="5"/>
      <c r="K93" s="5"/>
      <c r="L93" s="5"/>
      <c r="M93" s="5"/>
      <c r="N93" s="5"/>
      <c r="O93" s="5"/>
      <c r="P93" s="5"/>
      <c r="Q93" s="5"/>
    </row>
    <row r="94" spans="1:24" ht="18" customHeight="1" thickTop="1" thickBot="1">
      <c r="A94" s="537" t="s">
        <v>25</v>
      </c>
      <c r="B94" s="546"/>
      <c r="C94" s="546"/>
      <c r="D94" s="546"/>
      <c r="E94" s="546"/>
      <c r="F94" s="546"/>
      <c r="G94" s="268">
        <f>SUM(G83:G93)</f>
        <v>0</v>
      </c>
      <c r="H94" s="251">
        <f>G94</f>
        <v>0</v>
      </c>
      <c r="I94" s="5"/>
      <c r="J94" s="5"/>
      <c r="K94" s="5"/>
      <c r="L94" s="5"/>
      <c r="M94" s="5"/>
      <c r="N94" s="5"/>
      <c r="O94" s="5"/>
      <c r="P94" s="5"/>
      <c r="Q94" s="5"/>
    </row>
    <row r="95" spans="1:24" ht="18" customHeight="1" thickTop="1" thickBot="1">
      <c r="A95" s="522" t="s">
        <v>157</v>
      </c>
      <c r="B95" s="523"/>
      <c r="C95" s="523"/>
      <c r="D95" s="523"/>
      <c r="E95" s="47">
        <v>0.05</v>
      </c>
      <c r="F95" s="42"/>
      <c r="G95" s="97">
        <f>G94*(1-E95)</f>
        <v>0</v>
      </c>
      <c r="H95" s="251">
        <f>G95</f>
        <v>0</v>
      </c>
      <c r="I95" s="5"/>
      <c r="J95" s="5"/>
      <c r="K95" s="5"/>
      <c r="L95" s="5"/>
      <c r="M95" s="5"/>
      <c r="N95" s="5"/>
      <c r="O95" s="5"/>
      <c r="P95" s="5"/>
      <c r="Q95" s="5"/>
    </row>
    <row r="96" spans="1:24" ht="18" customHeight="1" thickTop="1" thickBot="1">
      <c r="A96" s="547" t="s">
        <v>143</v>
      </c>
      <c r="B96" s="548"/>
      <c r="C96" s="548"/>
      <c r="D96" s="548"/>
      <c r="E96" s="548"/>
      <c r="F96" s="548"/>
      <c r="G96" s="99">
        <f>G95*1.21</f>
        <v>0</v>
      </c>
      <c r="H96" s="251">
        <f>G96</f>
        <v>0</v>
      </c>
      <c r="I96" s="5"/>
      <c r="J96" s="5"/>
      <c r="K96" s="5"/>
      <c r="L96" s="5"/>
      <c r="M96" s="5"/>
      <c r="N96" s="5"/>
      <c r="O96" s="5"/>
      <c r="P96" s="5"/>
      <c r="Q96" s="5"/>
    </row>
    <row r="97" spans="1:17" ht="18.75" customHeight="1" thickTop="1">
      <c r="A97" s="14"/>
      <c r="B97" s="15"/>
      <c r="C97" s="15"/>
      <c r="D97" s="15"/>
      <c r="E97" s="15"/>
      <c r="F97" s="15"/>
      <c r="G97" s="15"/>
      <c r="H97" s="251">
        <f>G115</f>
        <v>0</v>
      </c>
      <c r="I97" s="5"/>
      <c r="J97" s="5"/>
      <c r="K97" s="5"/>
      <c r="L97" s="5"/>
      <c r="M97" s="5"/>
      <c r="N97" s="5"/>
      <c r="O97" s="5"/>
      <c r="P97" s="5"/>
      <c r="Q97" s="5"/>
    </row>
    <row r="98" spans="1:17" ht="18" customHeight="1">
      <c r="A98" s="549" t="s">
        <v>178</v>
      </c>
      <c r="B98" s="549"/>
      <c r="C98" s="549"/>
      <c r="D98" s="549"/>
      <c r="E98" s="549"/>
      <c r="F98" s="549"/>
      <c r="G98" s="549"/>
      <c r="H98" s="251">
        <f>G115</f>
        <v>0</v>
      </c>
      <c r="I98" s="5"/>
      <c r="J98" s="5"/>
      <c r="K98" s="5"/>
      <c r="L98" s="5"/>
      <c r="M98" s="5"/>
      <c r="N98" s="5"/>
      <c r="O98" s="5"/>
      <c r="P98" s="5"/>
      <c r="Q98" s="5"/>
    </row>
    <row r="99" spans="1:17" ht="15.9" customHeight="1">
      <c r="A99" s="544"/>
      <c r="B99" s="544"/>
      <c r="C99" s="544"/>
      <c r="D99" s="544"/>
      <c r="E99" s="544"/>
      <c r="F99" s="544"/>
      <c r="G99" s="544"/>
      <c r="H99" s="251">
        <f>G115</f>
        <v>0</v>
      </c>
      <c r="I99" s="5"/>
      <c r="J99" s="5"/>
      <c r="K99" s="5"/>
      <c r="L99" s="5"/>
      <c r="M99" s="5"/>
      <c r="N99" s="5"/>
      <c r="O99" s="5"/>
      <c r="P99" s="5"/>
      <c r="Q99" s="5"/>
    </row>
    <row r="100" spans="1:17" ht="19.5" customHeight="1" thickBot="1">
      <c r="A100" s="16"/>
      <c r="B100" s="15"/>
      <c r="C100" s="15"/>
      <c r="D100" s="15"/>
      <c r="E100" s="15"/>
      <c r="F100" s="15"/>
      <c r="G100" s="15"/>
      <c r="H100" s="251">
        <f>G115</f>
        <v>0</v>
      </c>
      <c r="I100" s="5"/>
      <c r="J100" s="5"/>
      <c r="K100" s="5"/>
      <c r="L100" s="5"/>
      <c r="M100" s="5"/>
      <c r="N100" s="5"/>
      <c r="O100" s="5"/>
      <c r="P100" s="5"/>
      <c r="Q100" s="5"/>
    </row>
    <row r="101" spans="1:17" ht="18" customHeight="1" thickTop="1">
      <c r="A101" s="6" t="s">
        <v>1</v>
      </c>
      <c r="B101" s="518" t="s">
        <v>3</v>
      </c>
      <c r="C101" s="518" t="s">
        <v>4</v>
      </c>
      <c r="D101" s="518" t="s">
        <v>5</v>
      </c>
      <c r="E101" s="518" t="s">
        <v>6</v>
      </c>
      <c r="F101" s="7" t="s">
        <v>7</v>
      </c>
      <c r="G101" s="8" t="s">
        <v>9</v>
      </c>
      <c r="H101" s="251">
        <f>G115</f>
        <v>0</v>
      </c>
      <c r="I101" s="5"/>
      <c r="J101" s="5"/>
      <c r="K101" s="5"/>
      <c r="L101" s="5"/>
      <c r="M101" s="5"/>
      <c r="N101" s="5"/>
      <c r="O101" s="5"/>
      <c r="P101" s="5"/>
      <c r="Q101" s="5"/>
    </row>
    <row r="102" spans="1:17" ht="24" customHeight="1" thickBot="1">
      <c r="A102" s="17" t="s">
        <v>2</v>
      </c>
      <c r="B102" s="519"/>
      <c r="C102" s="519"/>
      <c r="D102" s="519"/>
      <c r="E102" s="519"/>
      <c r="F102" s="18" t="s">
        <v>8</v>
      </c>
      <c r="G102" s="19" t="s">
        <v>8</v>
      </c>
      <c r="H102" s="251">
        <f>G115</f>
        <v>0</v>
      </c>
      <c r="I102" s="5"/>
      <c r="J102" s="5"/>
      <c r="K102" s="5"/>
      <c r="L102" s="5"/>
      <c r="M102" s="5"/>
      <c r="N102" s="5"/>
      <c r="O102" s="5"/>
      <c r="P102" s="5"/>
      <c r="Q102" s="5"/>
    </row>
    <row r="103" spans="1:17" ht="18" customHeight="1" thickTop="1" thickBot="1">
      <c r="A103" s="531" t="s">
        <v>27</v>
      </c>
      <c r="B103" s="569"/>
      <c r="C103" s="569"/>
      <c r="D103" s="264"/>
      <c r="E103" s="264"/>
      <c r="F103" s="264"/>
      <c r="G103" s="8"/>
      <c r="H103" s="248">
        <f>SUM(H104:H106)</f>
        <v>0</v>
      </c>
      <c r="I103" s="5"/>
      <c r="J103" s="5"/>
      <c r="K103" s="5"/>
      <c r="L103" s="5"/>
      <c r="M103" s="5"/>
      <c r="N103" s="5"/>
      <c r="O103" s="5"/>
      <c r="P103" s="5"/>
      <c r="Q103" s="5"/>
    </row>
    <row r="104" spans="1:17" ht="27.9" customHeight="1" thickTop="1" thickBot="1">
      <c r="A104" s="266"/>
      <c r="B104" s="267" t="s">
        <v>376</v>
      </c>
      <c r="C104" s="269" t="s">
        <v>379</v>
      </c>
      <c r="D104" s="267" t="s">
        <v>11</v>
      </c>
      <c r="E104" s="307">
        <f>'Calcul SF,HB,HB+SF '!K22</f>
        <v>0</v>
      </c>
      <c r="F104" s="287">
        <v>229</v>
      </c>
      <c r="G104" s="270">
        <f>E104*F104</f>
        <v>0</v>
      </c>
      <c r="H104" s="248">
        <f>E104</f>
        <v>0</v>
      </c>
      <c r="I104" s="5"/>
      <c r="J104" s="5"/>
      <c r="K104" s="5"/>
      <c r="L104" s="5"/>
      <c r="M104" s="5"/>
      <c r="N104" s="5"/>
      <c r="O104" s="5"/>
      <c r="P104" s="5"/>
      <c r="Q104" s="5"/>
    </row>
    <row r="105" spans="1:17" ht="18" customHeight="1" thickBot="1">
      <c r="A105" s="12"/>
      <c r="B105" s="3" t="s">
        <v>29</v>
      </c>
      <c r="C105" s="13" t="s">
        <v>30</v>
      </c>
      <c r="D105" s="3" t="s">
        <v>11</v>
      </c>
      <c r="E105" s="299">
        <f>'Calcul SF,HB,HB+SF '!H24</f>
        <v>0</v>
      </c>
      <c r="F105" s="286">
        <v>17</v>
      </c>
      <c r="G105" s="33">
        <f t="shared" ref="G105:G114" si="5">E105*F105</f>
        <v>0</v>
      </c>
      <c r="H105" s="248">
        <f>E105</f>
        <v>0</v>
      </c>
      <c r="I105" s="5"/>
      <c r="J105" s="5"/>
      <c r="K105" s="5"/>
      <c r="L105" s="5"/>
      <c r="M105" s="5"/>
      <c r="N105" s="5"/>
      <c r="O105" s="5"/>
      <c r="P105" s="5"/>
      <c r="Q105" s="5"/>
    </row>
    <row r="106" spans="1:17" ht="18" customHeight="1" thickBot="1">
      <c r="A106" s="35"/>
      <c r="B106" s="40" t="s">
        <v>377</v>
      </c>
      <c r="C106" s="37" t="s">
        <v>378</v>
      </c>
      <c r="D106" s="40" t="s">
        <v>11</v>
      </c>
      <c r="E106" s="300">
        <f>'Calcul SF,HB,HB+SF '!J22</f>
        <v>0</v>
      </c>
      <c r="F106" s="303">
        <v>63</v>
      </c>
      <c r="G106" s="38">
        <f t="shared" si="5"/>
        <v>0</v>
      </c>
      <c r="H106" s="248">
        <f>E106</f>
        <v>0</v>
      </c>
      <c r="I106" s="5"/>
      <c r="J106" s="5"/>
      <c r="K106" s="5"/>
      <c r="L106" s="5"/>
      <c r="M106" s="5"/>
      <c r="N106" s="5"/>
      <c r="O106" s="5"/>
      <c r="P106" s="5"/>
      <c r="Q106" s="5"/>
    </row>
    <row r="107" spans="1:17" ht="18" customHeight="1" thickTop="1" thickBot="1">
      <c r="A107" s="571" t="s">
        <v>326</v>
      </c>
      <c r="B107" s="572"/>
      <c r="C107" s="572"/>
      <c r="D107" s="165"/>
      <c r="E107" s="165"/>
      <c r="F107" s="309"/>
      <c r="G107" s="166"/>
      <c r="H107" s="248">
        <f>SUM(H108:H110)</f>
        <v>0</v>
      </c>
      <c r="I107" s="5"/>
      <c r="J107" s="5"/>
      <c r="K107" s="5"/>
      <c r="L107" s="5"/>
      <c r="M107" s="5"/>
      <c r="N107" s="5"/>
      <c r="O107" s="5"/>
      <c r="P107" s="5"/>
      <c r="Q107" s="5"/>
    </row>
    <row r="108" spans="1:17" ht="27.9" customHeight="1" thickTop="1" thickBot="1">
      <c r="A108" s="12"/>
      <c r="B108" s="3" t="s">
        <v>376</v>
      </c>
      <c r="C108" s="13" t="s">
        <v>379</v>
      </c>
      <c r="D108" s="3" t="s">
        <v>11</v>
      </c>
      <c r="E108" s="299">
        <f>'Calcul SF,HB,HB+SF '!V22</f>
        <v>0</v>
      </c>
      <c r="F108" s="287">
        <v>229</v>
      </c>
      <c r="G108" s="33">
        <f>E108*F108</f>
        <v>0</v>
      </c>
      <c r="H108" s="248">
        <f>E108</f>
        <v>0</v>
      </c>
      <c r="I108" s="5"/>
      <c r="J108" s="5"/>
      <c r="K108" s="5"/>
      <c r="L108" s="5"/>
      <c r="M108" s="5"/>
      <c r="N108" s="5"/>
      <c r="O108" s="5"/>
      <c r="P108" s="5"/>
      <c r="Q108" s="5"/>
    </row>
    <row r="109" spans="1:17" ht="18" customHeight="1" thickBot="1">
      <c r="A109" s="12"/>
      <c r="B109" s="3" t="s">
        <v>29</v>
      </c>
      <c r="C109" s="13" t="s">
        <v>30</v>
      </c>
      <c r="D109" s="3" t="s">
        <v>11</v>
      </c>
      <c r="E109" s="299">
        <f>'Calcul SF,HB,HB+SF '!S24</f>
        <v>0</v>
      </c>
      <c r="F109" s="286">
        <v>17</v>
      </c>
      <c r="G109" s="33">
        <f>E109*F109</f>
        <v>0</v>
      </c>
      <c r="H109" s="248">
        <f>E109</f>
        <v>0</v>
      </c>
      <c r="I109" s="5"/>
      <c r="J109" s="5"/>
      <c r="K109" s="5"/>
      <c r="L109" s="5"/>
      <c r="M109" s="5"/>
      <c r="N109" s="5"/>
      <c r="O109" s="5"/>
      <c r="P109" s="5"/>
      <c r="Q109" s="5"/>
    </row>
    <row r="110" spans="1:17" ht="18" customHeight="1" thickBot="1">
      <c r="A110" s="35"/>
      <c r="B110" s="40" t="s">
        <v>377</v>
      </c>
      <c r="C110" s="37" t="s">
        <v>378</v>
      </c>
      <c r="D110" s="40" t="s">
        <v>11</v>
      </c>
      <c r="E110" s="300">
        <f>'Calcul SF,HB,HB+SF '!U22</f>
        <v>0</v>
      </c>
      <c r="F110" s="303">
        <v>63</v>
      </c>
      <c r="G110" s="38">
        <f>E110*F110</f>
        <v>0</v>
      </c>
      <c r="H110" s="248">
        <f>E110</f>
        <v>0</v>
      </c>
      <c r="I110" s="5"/>
      <c r="J110" s="5"/>
      <c r="K110" s="5"/>
      <c r="L110" s="5"/>
      <c r="M110" s="5"/>
      <c r="N110" s="5"/>
      <c r="O110" s="5"/>
      <c r="P110" s="5"/>
      <c r="Q110" s="5"/>
    </row>
    <row r="111" spans="1:17" ht="18" customHeight="1" thickTop="1" thickBot="1">
      <c r="A111" s="571" t="s">
        <v>32</v>
      </c>
      <c r="B111" s="572"/>
      <c r="C111" s="572"/>
      <c r="D111" s="165"/>
      <c r="E111" s="165"/>
      <c r="F111" s="310"/>
      <c r="G111" s="166"/>
      <c r="H111" s="248">
        <f>SUM(H112:H114)</f>
        <v>0</v>
      </c>
      <c r="J111" s="5"/>
    </row>
    <row r="112" spans="1:17" ht="27.9" customHeight="1" thickTop="1" thickBot="1">
      <c r="A112" s="266"/>
      <c r="B112" s="267" t="s">
        <v>376</v>
      </c>
      <c r="C112" s="269" t="s">
        <v>379</v>
      </c>
      <c r="D112" s="267" t="s">
        <v>11</v>
      </c>
      <c r="E112" s="307">
        <f>'Calcul SF,HB,HB+SF '!AE22</f>
        <v>0</v>
      </c>
      <c r="F112" s="287">
        <v>229</v>
      </c>
      <c r="G112" s="270">
        <f t="shared" si="5"/>
        <v>0</v>
      </c>
      <c r="H112" s="248">
        <f>E112</f>
        <v>0</v>
      </c>
      <c r="J112" s="5"/>
    </row>
    <row r="113" spans="1:26" ht="18" customHeight="1" thickBot="1">
      <c r="A113" s="12"/>
      <c r="B113" s="3" t="s">
        <v>29</v>
      </c>
      <c r="C113" s="13" t="s">
        <v>30</v>
      </c>
      <c r="D113" s="3" t="s">
        <v>11</v>
      </c>
      <c r="E113" s="299">
        <f>'Calcul SF,HB,HB+SF '!AD24</f>
        <v>0</v>
      </c>
      <c r="F113" s="286">
        <v>17</v>
      </c>
      <c r="G113" s="33">
        <f t="shared" si="5"/>
        <v>0</v>
      </c>
      <c r="H113" s="248">
        <f>E113</f>
        <v>0</v>
      </c>
      <c r="J113" s="5"/>
    </row>
    <row r="114" spans="1:26" ht="18" customHeight="1" thickBot="1">
      <c r="A114" s="161"/>
      <c r="B114" s="162" t="s">
        <v>377</v>
      </c>
      <c r="C114" s="163" t="s">
        <v>378</v>
      </c>
      <c r="D114" s="162" t="s">
        <v>11</v>
      </c>
      <c r="E114" s="301">
        <f>'Calcul SF,HB,HB+SF '!AF22</f>
        <v>0</v>
      </c>
      <c r="F114" s="288">
        <v>63</v>
      </c>
      <c r="G114" s="164">
        <f t="shared" si="5"/>
        <v>0</v>
      </c>
      <c r="H114" s="248">
        <f>E114</f>
        <v>0</v>
      </c>
      <c r="J114" s="5"/>
    </row>
    <row r="115" spans="1:26" ht="18" customHeight="1" thickTop="1" thickBot="1">
      <c r="A115" s="537" t="s">
        <v>25</v>
      </c>
      <c r="B115" s="546"/>
      <c r="C115" s="546"/>
      <c r="D115" s="546"/>
      <c r="E115" s="546"/>
      <c r="F115" s="570"/>
      <c r="G115" s="268">
        <f>SUM(G104:G114)</f>
        <v>0</v>
      </c>
      <c r="H115" s="251">
        <f>G115</f>
        <v>0</v>
      </c>
    </row>
    <row r="116" spans="1:26" ht="18" customHeight="1" thickTop="1" thickBot="1">
      <c r="A116" s="522" t="s">
        <v>157</v>
      </c>
      <c r="B116" s="523"/>
      <c r="C116" s="523"/>
      <c r="D116" s="523"/>
      <c r="E116" s="47">
        <v>0.05</v>
      </c>
      <c r="F116" s="42"/>
      <c r="G116" s="97">
        <f>G115*(1-E116)</f>
        <v>0</v>
      </c>
      <c r="H116" s="251">
        <f>G116</f>
        <v>0</v>
      </c>
    </row>
    <row r="117" spans="1:26" ht="18" customHeight="1" thickTop="1" thickBot="1">
      <c r="A117" s="522" t="s">
        <v>143</v>
      </c>
      <c r="B117" s="523"/>
      <c r="C117" s="523"/>
      <c r="D117" s="523"/>
      <c r="E117" s="523"/>
      <c r="F117" s="577"/>
      <c r="G117" s="98">
        <f>G116*1.21</f>
        <v>0</v>
      </c>
      <c r="H117" s="251">
        <f>G117</f>
        <v>0</v>
      </c>
    </row>
    <row r="118" spans="1:26" ht="18.75" customHeight="1" thickTop="1">
      <c r="A118" s="53"/>
      <c r="B118" s="53"/>
      <c r="C118" s="53"/>
      <c r="D118" s="53"/>
      <c r="E118" s="53"/>
      <c r="F118" s="53"/>
      <c r="G118" s="70"/>
      <c r="H118" s="251"/>
    </row>
    <row r="119" spans="1:26" ht="18.75" customHeight="1">
      <c r="A119" s="53"/>
      <c r="B119" s="53"/>
      <c r="C119" s="53"/>
      <c r="D119" s="53"/>
      <c r="E119" s="53"/>
      <c r="F119" s="53"/>
      <c r="G119" s="70"/>
      <c r="H119" s="251"/>
    </row>
    <row r="120" spans="1:26" ht="18.75" customHeight="1">
      <c r="A120" s="53"/>
      <c r="B120" s="53"/>
      <c r="C120" s="53"/>
      <c r="D120" s="53"/>
      <c r="E120" s="53"/>
      <c r="F120" s="53"/>
      <c r="G120" s="70"/>
      <c r="H120" s="251"/>
    </row>
    <row r="121" spans="1:26" ht="18.75" customHeight="1">
      <c r="A121" s="53"/>
      <c r="B121" s="53"/>
      <c r="C121" s="53"/>
      <c r="D121" s="53"/>
      <c r="E121" s="53"/>
      <c r="F121" s="53"/>
      <c r="G121" s="70"/>
      <c r="H121" s="251"/>
    </row>
    <row r="122" spans="1:26" ht="18" customHeight="1">
      <c r="A122" s="25"/>
      <c r="B122" s="25"/>
      <c r="C122" s="25"/>
      <c r="D122" s="25"/>
      <c r="E122" s="25"/>
      <c r="F122" s="25"/>
      <c r="G122" s="25"/>
      <c r="I122" s="575"/>
      <c r="J122" s="81"/>
      <c r="K122" s="82"/>
      <c r="L122" s="82"/>
      <c r="M122" s="86"/>
      <c r="N122" s="86"/>
      <c r="O122" s="552"/>
      <c r="P122" s="100"/>
      <c r="Q122" s="92"/>
      <c r="R122" s="92"/>
      <c r="S122" s="92"/>
      <c r="T122" s="69"/>
      <c r="U122" s="69"/>
      <c r="V122" s="93"/>
      <c r="W122" s="88"/>
      <c r="X122" s="89"/>
      <c r="Y122" s="89"/>
      <c r="Z122" s="69"/>
    </row>
    <row r="123" spans="1:26" ht="18" customHeight="1">
      <c r="I123" s="576"/>
      <c r="J123" s="81"/>
      <c r="K123" s="82"/>
      <c r="L123" s="82"/>
      <c r="M123" s="86"/>
      <c r="N123" s="86"/>
      <c r="O123" s="552"/>
      <c r="P123" s="69"/>
      <c r="Q123" s="69"/>
      <c r="R123" s="32"/>
      <c r="S123" s="92"/>
      <c r="T123" s="69"/>
      <c r="U123" s="69"/>
      <c r="V123" s="90"/>
      <c r="W123" s="86"/>
      <c r="X123" s="91"/>
      <c r="Y123" s="91"/>
      <c r="Z123" s="69"/>
    </row>
    <row r="124" spans="1:26" ht="18.75" customHeight="1">
      <c r="A124" s="520" t="s">
        <v>335</v>
      </c>
      <c r="B124" s="521"/>
      <c r="C124" s="521"/>
      <c r="D124" s="521"/>
      <c r="E124" s="521"/>
      <c r="F124" s="521"/>
      <c r="G124" s="521"/>
      <c r="H124" s="251">
        <f>SUM(H126:H130)</f>
        <v>0</v>
      </c>
      <c r="I124" s="576"/>
      <c r="O124" s="552"/>
    </row>
    <row r="125" spans="1:26" ht="15" thickBot="1">
      <c r="A125" s="53"/>
      <c r="B125" s="53"/>
      <c r="C125" s="53"/>
      <c r="D125" s="53"/>
      <c r="E125" s="53"/>
      <c r="F125" s="53"/>
      <c r="G125" s="70"/>
      <c r="H125" s="251"/>
      <c r="I125" s="576"/>
      <c r="O125" s="552"/>
    </row>
    <row r="126" spans="1:26" ht="18" customHeight="1" thickTop="1">
      <c r="A126" s="6" t="s">
        <v>1</v>
      </c>
      <c r="B126" s="518"/>
      <c r="C126" s="518" t="s">
        <v>4</v>
      </c>
      <c r="D126" s="518" t="s">
        <v>5</v>
      </c>
      <c r="E126" s="518" t="s">
        <v>6</v>
      </c>
      <c r="F126" s="7" t="s">
        <v>7</v>
      </c>
      <c r="G126" s="8" t="s">
        <v>9</v>
      </c>
      <c r="H126" s="251">
        <f>G130</f>
        <v>0</v>
      </c>
      <c r="I126" s="576"/>
      <c r="O126" s="552"/>
    </row>
    <row r="127" spans="1:26" ht="18" customHeight="1" thickBot="1">
      <c r="A127" s="9" t="s">
        <v>2</v>
      </c>
      <c r="B127" s="519"/>
      <c r="C127" s="519"/>
      <c r="D127" s="519"/>
      <c r="E127" s="519"/>
      <c r="F127" s="10" t="s">
        <v>330</v>
      </c>
      <c r="G127" s="11" t="s">
        <v>330</v>
      </c>
      <c r="H127" s="251">
        <f>G130</f>
        <v>0</v>
      </c>
      <c r="I127" s="576"/>
      <c r="O127" s="552"/>
    </row>
    <row r="128" spans="1:26" ht="18" customHeight="1" thickTop="1" thickBot="1">
      <c r="A128" s="12"/>
      <c r="B128" s="3"/>
      <c r="C128" s="13" t="s">
        <v>329</v>
      </c>
      <c r="D128" s="3" t="s">
        <v>92</v>
      </c>
      <c r="E128" s="212">
        <f>'Calcul SF,HB,HB+SF '!L24</f>
        <v>0</v>
      </c>
      <c r="F128" s="150">
        <v>13</v>
      </c>
      <c r="G128" s="33">
        <f>E128*F128</f>
        <v>0</v>
      </c>
      <c r="H128" s="251">
        <f>E128</f>
        <v>0</v>
      </c>
      <c r="I128" s="576"/>
      <c r="O128" s="552"/>
    </row>
    <row r="129" spans="1:26" ht="18" customHeight="1" thickBot="1">
      <c r="A129" s="221"/>
      <c r="B129" s="222"/>
      <c r="C129" s="220" t="s">
        <v>332</v>
      </c>
      <c r="D129" s="222" t="s">
        <v>331</v>
      </c>
      <c r="E129" s="225">
        <f>IF(AND(E83=1, E87=1, E91=1), 3,
IF(OR(AND(E83=1, E87=1), AND(E83=1, E91=1), AND(E87=1, E91=1)), 2,
IF(OR(E83=1, E87=1, E91=1), 1, 0)))</f>
        <v>0</v>
      </c>
      <c r="F129" s="225">
        <v>170</v>
      </c>
      <c r="G129" s="262">
        <f>E129*F129</f>
        <v>0</v>
      </c>
      <c r="H129" s="251">
        <f>E129</f>
        <v>0</v>
      </c>
      <c r="I129" s="576"/>
      <c r="O129" s="552"/>
    </row>
    <row r="130" spans="1:26" ht="18" customHeight="1" thickTop="1" thickBot="1">
      <c r="A130" s="522" t="s">
        <v>334</v>
      </c>
      <c r="B130" s="523"/>
      <c r="C130" s="523"/>
      <c r="D130" s="523"/>
      <c r="E130" s="523"/>
      <c r="F130" s="523"/>
      <c r="G130" s="98">
        <f>SUM(G128:G129)</f>
        <v>0</v>
      </c>
      <c r="H130" s="251">
        <f>G130</f>
        <v>0</v>
      </c>
      <c r="I130" s="576"/>
      <c r="O130" s="552"/>
    </row>
    <row r="131" spans="1:26" ht="18" customHeight="1" thickTop="1">
      <c r="A131" s="53"/>
      <c r="B131" s="53"/>
      <c r="C131" s="53"/>
      <c r="D131" s="53"/>
      <c r="E131" s="53"/>
      <c r="F131" s="53"/>
      <c r="G131" s="70"/>
      <c r="H131" s="251">
        <f>SUM(H126:H130)</f>
        <v>0</v>
      </c>
      <c r="I131" s="576"/>
      <c r="J131" s="79"/>
      <c r="K131" s="80"/>
      <c r="L131" s="80"/>
      <c r="M131" s="78"/>
      <c r="N131" s="78"/>
      <c r="O131" s="552"/>
      <c r="P131" s="49"/>
      <c r="Q131" s="92"/>
      <c r="R131" s="92"/>
      <c r="S131" s="92"/>
      <c r="T131" s="69"/>
      <c r="U131" s="69"/>
      <c r="V131" s="93"/>
      <c r="W131" s="88"/>
      <c r="X131" s="89"/>
      <c r="Y131" s="89"/>
      <c r="Z131" s="69"/>
    </row>
    <row r="132" spans="1:26" ht="18.75" customHeight="1">
      <c r="A132" s="520" t="s">
        <v>336</v>
      </c>
      <c r="B132" s="521"/>
      <c r="C132" s="521"/>
      <c r="D132" s="521"/>
      <c r="E132" s="521"/>
      <c r="F132" s="521"/>
      <c r="G132" s="521"/>
      <c r="H132" s="251">
        <f>SUM(H134:H138)</f>
        <v>0</v>
      </c>
      <c r="I132" s="576"/>
      <c r="O132" s="552"/>
    </row>
    <row r="133" spans="1:26" ht="15" thickBot="1">
      <c r="A133" s="53"/>
      <c r="B133" s="53"/>
      <c r="C133" s="53"/>
      <c r="D133" s="53"/>
      <c r="E133" s="53"/>
      <c r="F133" s="53"/>
      <c r="G133" s="70"/>
      <c r="H133" s="251">
        <f>G138</f>
        <v>0</v>
      </c>
      <c r="I133" s="576"/>
      <c r="O133" s="552"/>
    </row>
    <row r="134" spans="1:26" ht="18" customHeight="1" thickTop="1">
      <c r="A134" s="6" t="s">
        <v>1</v>
      </c>
      <c r="B134" s="518"/>
      <c r="C134" s="518" t="s">
        <v>4</v>
      </c>
      <c r="D134" s="518" t="s">
        <v>5</v>
      </c>
      <c r="E134" s="518" t="s">
        <v>6</v>
      </c>
      <c r="F134" s="7" t="s">
        <v>7</v>
      </c>
      <c r="G134" s="8" t="s">
        <v>9</v>
      </c>
      <c r="H134" s="251">
        <f>G138</f>
        <v>0</v>
      </c>
      <c r="I134" s="576"/>
      <c r="O134" s="552"/>
    </row>
    <row r="135" spans="1:26" ht="18" customHeight="1" thickBot="1">
      <c r="A135" s="9" t="s">
        <v>2</v>
      </c>
      <c r="B135" s="519"/>
      <c r="C135" s="519"/>
      <c r="D135" s="519"/>
      <c r="E135" s="519"/>
      <c r="F135" s="10" t="s">
        <v>330</v>
      </c>
      <c r="G135" s="11" t="s">
        <v>330</v>
      </c>
      <c r="H135" s="251">
        <f>G138</f>
        <v>0</v>
      </c>
      <c r="I135" s="576"/>
      <c r="O135" s="552"/>
    </row>
    <row r="136" spans="1:26" ht="18" customHeight="1" thickTop="1" thickBot="1">
      <c r="A136" s="12"/>
      <c r="B136" s="3"/>
      <c r="C136" s="13" t="s">
        <v>329</v>
      </c>
      <c r="D136" s="3" t="s">
        <v>92</v>
      </c>
      <c r="E136" s="212">
        <f>'Calcul SF,HB,HB+SF '!L24</f>
        <v>0</v>
      </c>
      <c r="F136" s="150">
        <v>13</v>
      </c>
      <c r="G136" s="33">
        <f>E136*F136</f>
        <v>0</v>
      </c>
      <c r="H136" s="251">
        <f>E136</f>
        <v>0</v>
      </c>
      <c r="I136" s="576"/>
      <c r="O136" s="552"/>
    </row>
    <row r="137" spans="1:26" ht="18" customHeight="1" thickBot="1">
      <c r="A137" s="223"/>
      <c r="B137" s="224"/>
      <c r="C137" s="219" t="s">
        <v>333</v>
      </c>
      <c r="D137" s="227" t="s">
        <v>331</v>
      </c>
      <c r="E137" s="228">
        <f>IF(AND(E104=1, E108=1, E112=1), 3,
IF(OR(AND(E104=1, E108=1), AND(E104=1, E112=1), AND(E108=1, E112=1)), 2,
IF(OR(E104=1, E108=1, E112=1), 1, 0)))</f>
        <v>0</v>
      </c>
      <c r="F137" s="228">
        <v>110</v>
      </c>
      <c r="G137" s="263">
        <f>E137*F137</f>
        <v>0</v>
      </c>
      <c r="H137" s="251">
        <f>E137</f>
        <v>0</v>
      </c>
      <c r="I137" s="576"/>
      <c r="O137" s="552"/>
    </row>
    <row r="138" spans="1:26" ht="18" customHeight="1" thickTop="1" thickBot="1">
      <c r="A138" s="522" t="s">
        <v>334</v>
      </c>
      <c r="B138" s="523"/>
      <c r="C138" s="523"/>
      <c r="D138" s="523"/>
      <c r="E138" s="523"/>
      <c r="F138" s="523"/>
      <c r="G138" s="98">
        <f>SUM(G136:G137)</f>
        <v>0</v>
      </c>
      <c r="H138" s="251">
        <f>G138</f>
        <v>0</v>
      </c>
      <c r="I138" s="576"/>
      <c r="O138" s="552"/>
    </row>
    <row r="139" spans="1:26" ht="15" thickTop="1">
      <c r="I139" s="576"/>
      <c r="O139" s="552"/>
    </row>
    <row r="140" spans="1:26">
      <c r="I140" s="576"/>
      <c r="O140" s="552"/>
    </row>
    <row r="141" spans="1:26" ht="18" customHeight="1">
      <c r="A141" s="544" t="s">
        <v>169</v>
      </c>
      <c r="B141" s="544"/>
      <c r="C141" s="544"/>
      <c r="D141" s="544"/>
      <c r="E141" s="544"/>
      <c r="F141" s="544"/>
      <c r="G141" s="544"/>
      <c r="I141" s="576"/>
      <c r="J141" s="81"/>
      <c r="K141" s="82"/>
      <c r="L141" s="80"/>
      <c r="M141" s="78"/>
      <c r="N141" s="78"/>
      <c r="O141" s="552"/>
      <c r="P141" s="49"/>
      <c r="Q141" s="50"/>
      <c r="R141" s="50"/>
      <c r="S141" s="50"/>
    </row>
    <row r="142" spans="1:26" ht="18" customHeight="1">
      <c r="A142" s="559" t="s">
        <v>170</v>
      </c>
      <c r="B142" s="559"/>
      <c r="C142" s="559"/>
      <c r="D142" s="559"/>
      <c r="E142" s="559"/>
      <c r="F142" s="559"/>
      <c r="G142" s="559"/>
      <c r="I142" s="576"/>
      <c r="J142" s="79"/>
      <c r="K142" s="80"/>
      <c r="L142" s="80"/>
      <c r="M142" s="78"/>
      <c r="N142" s="78"/>
      <c r="O142" s="552"/>
      <c r="P142" s="49"/>
      <c r="Q142" s="50"/>
      <c r="R142" s="50"/>
      <c r="S142" s="50"/>
    </row>
    <row r="143" spans="1:26" ht="27" customHeight="1">
      <c r="A143" s="559" t="s">
        <v>177</v>
      </c>
      <c r="B143" s="559"/>
      <c r="C143" s="559"/>
      <c r="D143" s="559"/>
      <c r="E143" s="559"/>
      <c r="F143" s="559"/>
      <c r="G143" s="559"/>
      <c r="I143" s="576"/>
      <c r="J143" s="79"/>
      <c r="K143" s="80"/>
      <c r="L143" s="80"/>
      <c r="M143" s="78"/>
      <c r="N143" s="78"/>
      <c r="O143" s="552"/>
      <c r="P143" s="49"/>
      <c r="Q143" s="50"/>
      <c r="R143" s="50"/>
      <c r="S143" s="50"/>
    </row>
    <row r="144" spans="1:26" ht="32.25" customHeight="1">
      <c r="A144" s="559" t="s">
        <v>328</v>
      </c>
      <c r="B144" s="559"/>
      <c r="C144" s="559"/>
      <c r="D144" s="559"/>
      <c r="E144" s="559"/>
      <c r="F144" s="559"/>
      <c r="G144" s="559"/>
      <c r="I144" s="576"/>
      <c r="J144" s="81"/>
      <c r="K144" s="82"/>
      <c r="L144" s="83"/>
      <c r="M144" s="84"/>
      <c r="N144" s="84"/>
      <c r="O144" s="552"/>
      <c r="P144" s="49"/>
      <c r="Q144" s="50"/>
      <c r="R144" s="50"/>
      <c r="S144" s="50"/>
    </row>
    <row r="145" spans="1:26" ht="30.75" customHeight="1">
      <c r="A145" s="559" t="s">
        <v>174</v>
      </c>
      <c r="B145" s="559"/>
      <c r="C145" s="559"/>
      <c r="D145" s="559"/>
      <c r="E145" s="559"/>
      <c r="F145" s="559"/>
      <c r="G145" s="559"/>
      <c r="I145" s="576"/>
      <c r="J145" s="79"/>
      <c r="K145" s="80"/>
      <c r="L145" s="80"/>
      <c r="M145" s="78"/>
      <c r="N145" s="78"/>
      <c r="O145" s="552"/>
      <c r="P145" s="49"/>
      <c r="Q145" s="50"/>
      <c r="R145" s="50"/>
      <c r="S145" s="50"/>
    </row>
    <row r="146" spans="1:26" ht="18" customHeight="1">
      <c r="A146" s="16"/>
      <c r="B146" s="16"/>
      <c r="C146" s="16"/>
      <c r="D146" s="16"/>
      <c r="E146" s="16"/>
      <c r="F146" s="16"/>
      <c r="G146" s="16"/>
      <c r="I146" s="576"/>
      <c r="J146" s="79"/>
      <c r="K146" s="80"/>
      <c r="L146" s="80"/>
      <c r="M146" s="78"/>
      <c r="N146" s="78"/>
      <c r="O146" s="552"/>
      <c r="P146" s="49"/>
      <c r="Q146" s="50"/>
      <c r="R146" s="50"/>
      <c r="S146" s="50"/>
    </row>
    <row r="147" spans="1:26" ht="18" customHeight="1">
      <c r="A147" s="560" t="s">
        <v>142</v>
      </c>
      <c r="B147" s="560"/>
      <c r="C147" s="560"/>
      <c r="G147" s="44"/>
      <c r="I147" s="576"/>
      <c r="J147" s="79"/>
      <c r="K147" s="80"/>
      <c r="L147" s="80"/>
      <c r="M147" s="78"/>
      <c r="N147" s="78"/>
      <c r="O147" s="552"/>
      <c r="P147" s="49"/>
      <c r="Q147" s="50"/>
      <c r="R147" s="50"/>
      <c r="S147" s="50"/>
    </row>
    <row r="148" spans="1:26" ht="18" customHeight="1">
      <c r="A148" s="561" t="s">
        <v>324</v>
      </c>
      <c r="B148" s="561"/>
      <c r="C148" s="561"/>
      <c r="D148" s="196"/>
      <c r="E148" s="210"/>
      <c r="F148" s="210"/>
      <c r="G148" s="211"/>
      <c r="I148" s="576"/>
      <c r="J148" s="79"/>
      <c r="K148" s="80"/>
      <c r="L148" s="80"/>
      <c r="M148" s="78"/>
      <c r="N148" s="78"/>
      <c r="O148" s="552"/>
      <c r="P148" s="49"/>
      <c r="Q148" s="50"/>
      <c r="R148" s="50"/>
      <c r="S148" s="50"/>
    </row>
    <row r="149" spans="1:26" ht="18" customHeight="1">
      <c r="A149" s="544" t="s">
        <v>56</v>
      </c>
      <c r="B149" s="544"/>
      <c r="C149" s="544"/>
      <c r="D149" s="544"/>
      <c r="E149" s="544"/>
      <c r="F149" s="544"/>
      <c r="G149" s="544"/>
      <c r="I149" s="576"/>
      <c r="J149" s="79"/>
      <c r="K149" s="80"/>
      <c r="L149" s="80"/>
      <c r="M149" s="78"/>
      <c r="N149" s="78"/>
      <c r="O149" s="552"/>
      <c r="P149" s="49"/>
      <c r="Q149" s="50"/>
      <c r="R149" s="50"/>
      <c r="S149" s="50"/>
    </row>
    <row r="150" spans="1:26" ht="18" customHeight="1">
      <c r="A150" s="544" t="s">
        <v>93</v>
      </c>
      <c r="B150" s="544"/>
      <c r="C150" s="544"/>
      <c r="D150" s="544"/>
      <c r="E150" s="544"/>
      <c r="F150" s="544"/>
      <c r="G150" s="544"/>
      <c r="I150" s="576"/>
      <c r="J150" s="79"/>
      <c r="K150" s="80"/>
      <c r="L150" s="80"/>
      <c r="M150" s="78"/>
      <c r="N150" s="78"/>
      <c r="O150" s="552"/>
      <c r="P150" s="49"/>
      <c r="Q150" s="50"/>
      <c r="R150" s="50"/>
      <c r="S150" s="50"/>
      <c r="U150" s="69"/>
    </row>
    <row r="151" spans="1:26" ht="18" customHeight="1">
      <c r="A151" s="544" t="s">
        <v>57</v>
      </c>
      <c r="B151" s="544"/>
      <c r="C151" s="544"/>
      <c r="D151" s="544"/>
      <c r="E151" s="544"/>
      <c r="F151" s="544"/>
      <c r="G151" s="544"/>
      <c r="I151" s="576"/>
      <c r="J151" s="79"/>
      <c r="K151" s="80"/>
      <c r="L151" s="80"/>
      <c r="M151" s="78"/>
      <c r="N151" s="78"/>
      <c r="O151" s="552"/>
      <c r="Q151" s="50"/>
      <c r="R151" s="50"/>
      <c r="S151" s="50"/>
    </row>
    <row r="152" spans="1:26" ht="18" customHeight="1">
      <c r="A152" s="16"/>
      <c r="B152" s="15"/>
      <c r="C152" s="15"/>
      <c r="D152" s="15"/>
      <c r="E152" s="15"/>
      <c r="F152" s="15"/>
      <c r="G152" s="15"/>
      <c r="I152" s="576"/>
      <c r="J152" s="79"/>
      <c r="K152" s="80"/>
      <c r="L152" s="80"/>
      <c r="M152" s="78"/>
      <c r="N152" s="78"/>
      <c r="O152" s="552"/>
      <c r="P152" s="49"/>
      <c r="Q152" s="50"/>
      <c r="R152" s="50"/>
      <c r="S152" s="50"/>
    </row>
    <row r="153" spans="1:26" ht="18" customHeight="1">
      <c r="A153" s="15"/>
      <c r="B153" s="21" t="s">
        <v>33</v>
      </c>
      <c r="C153" s="22"/>
      <c r="D153" s="22"/>
      <c r="E153" s="22"/>
      <c r="F153" s="22"/>
      <c r="G153" s="22"/>
      <c r="I153" s="576"/>
      <c r="J153" s="79"/>
      <c r="K153" s="80"/>
      <c r="L153" s="80"/>
      <c r="M153" s="78"/>
      <c r="N153" s="78"/>
      <c r="O153" s="552"/>
      <c r="P153" s="49"/>
      <c r="Q153" s="50"/>
      <c r="R153" s="50"/>
      <c r="S153" s="50"/>
    </row>
    <row r="154" spans="1:26" ht="18" customHeight="1">
      <c r="A154" s="15"/>
      <c r="B154" s="23"/>
      <c r="C154" s="24"/>
      <c r="D154" s="24"/>
      <c r="E154" s="24"/>
      <c r="F154" s="24"/>
      <c r="G154" s="24"/>
      <c r="I154" s="576"/>
      <c r="J154" s="79"/>
      <c r="K154" s="80"/>
      <c r="L154" s="80"/>
      <c r="M154" s="78"/>
      <c r="N154" s="78"/>
      <c r="O154" s="552"/>
      <c r="P154" s="49"/>
      <c r="Q154" s="50"/>
      <c r="R154" s="50"/>
      <c r="S154" s="50"/>
    </row>
    <row r="155" spans="1:26" ht="18" customHeight="1">
      <c r="A155" s="25"/>
      <c r="B155" s="553"/>
      <c r="C155" s="530"/>
      <c r="D155" s="25"/>
      <c r="E155" s="25"/>
      <c r="F155" s="25"/>
      <c r="G155" s="25"/>
      <c r="I155" s="576"/>
      <c r="J155" s="81"/>
      <c r="K155" s="82"/>
      <c r="L155" s="80"/>
      <c r="M155" s="78"/>
      <c r="N155" s="85"/>
      <c r="O155" s="552"/>
      <c r="P155" s="49"/>
      <c r="Q155" s="50"/>
      <c r="R155" s="50"/>
      <c r="S155" s="50"/>
    </row>
    <row r="156" spans="1:26" ht="15.75" customHeight="1">
      <c r="A156" s="25"/>
      <c r="B156" s="553" t="s">
        <v>34</v>
      </c>
      <c r="C156" s="530"/>
      <c r="D156" s="25"/>
      <c r="E156" s="25"/>
      <c r="F156" s="25"/>
      <c r="G156" s="25"/>
      <c r="I156" s="576"/>
      <c r="J156" s="77"/>
      <c r="K156" s="85"/>
      <c r="L156" s="80"/>
      <c r="M156" s="78"/>
      <c r="N156" s="85"/>
      <c r="O156" s="552"/>
      <c r="P156" s="49"/>
      <c r="Q156" s="50"/>
      <c r="R156" s="50"/>
      <c r="S156" s="50"/>
    </row>
    <row r="157" spans="1:26" ht="18" customHeight="1">
      <c r="I157" s="576"/>
      <c r="J157" s="81"/>
      <c r="K157" s="82"/>
      <c r="L157" s="82"/>
      <c r="M157" s="86"/>
      <c r="N157" s="86"/>
      <c r="O157" s="552"/>
      <c r="P157" s="69"/>
      <c r="Q157" s="69"/>
      <c r="R157" s="32"/>
      <c r="S157" s="92"/>
      <c r="T157" s="94"/>
      <c r="U157" s="69"/>
      <c r="V157" s="73"/>
      <c r="W157" s="74"/>
      <c r="X157" s="89"/>
      <c r="Y157" s="89"/>
      <c r="Z157" s="69"/>
    </row>
    <row r="158" spans="1:26" ht="18" customHeight="1">
      <c r="I158" s="576"/>
      <c r="J158" s="81"/>
      <c r="K158" s="82"/>
      <c r="L158" s="82"/>
      <c r="M158" s="86"/>
      <c r="N158" s="86"/>
      <c r="O158" s="552"/>
      <c r="P158" s="69"/>
      <c r="Q158" s="69"/>
      <c r="R158" s="32"/>
      <c r="S158" s="92"/>
      <c r="T158" s="69"/>
      <c r="U158" s="69"/>
      <c r="V158" s="90"/>
      <c r="W158" s="86"/>
      <c r="X158" s="91"/>
      <c r="Y158" s="91"/>
      <c r="Z158" s="69"/>
    </row>
    <row r="159" spans="1:26" ht="18" customHeight="1">
      <c r="I159" s="576"/>
      <c r="J159" s="81"/>
      <c r="K159" s="82"/>
      <c r="L159" s="82"/>
      <c r="M159" s="86"/>
      <c r="N159" s="86"/>
      <c r="O159" s="552"/>
      <c r="P159" s="69"/>
      <c r="Q159" s="69"/>
      <c r="R159" s="32"/>
      <c r="S159" s="92"/>
      <c r="T159" s="69"/>
      <c r="U159" s="69"/>
      <c r="V159" s="73"/>
      <c r="W159" s="88"/>
      <c r="X159" s="69"/>
      <c r="Y159" s="69"/>
      <c r="Z159" s="69"/>
    </row>
    <row r="160" spans="1:26" ht="18" customHeight="1">
      <c r="I160" s="576"/>
      <c r="J160" s="81"/>
      <c r="K160" s="82"/>
      <c r="L160" s="82"/>
      <c r="M160" s="86"/>
      <c r="N160" s="86"/>
      <c r="O160" s="552"/>
      <c r="P160" s="69"/>
      <c r="Q160" s="69"/>
      <c r="R160" s="92"/>
      <c r="S160" s="92"/>
      <c r="T160" s="69"/>
      <c r="U160" s="69"/>
      <c r="V160" s="69"/>
      <c r="W160" s="69"/>
      <c r="X160" s="69"/>
      <c r="Y160" s="69"/>
      <c r="Z160" s="69"/>
    </row>
    <row r="161" spans="9:26" ht="18" customHeight="1">
      <c r="I161" s="576"/>
      <c r="J161" s="81"/>
      <c r="K161" s="82"/>
      <c r="L161" s="82"/>
      <c r="M161" s="86"/>
      <c r="N161" s="86"/>
      <c r="O161" s="552"/>
      <c r="P161" s="69"/>
      <c r="Q161" s="69"/>
      <c r="R161" s="92"/>
      <c r="S161" s="92"/>
      <c r="T161" s="69"/>
      <c r="U161" s="69"/>
      <c r="V161" s="69"/>
      <c r="W161" s="69"/>
      <c r="X161" s="69"/>
      <c r="Y161" s="69"/>
      <c r="Z161" s="69"/>
    </row>
    <row r="162" spans="9:26" ht="18" customHeight="1">
      <c r="I162" s="576"/>
      <c r="J162" s="81"/>
      <c r="K162" s="82"/>
      <c r="L162" s="82"/>
      <c r="M162" s="86"/>
      <c r="N162" s="86"/>
      <c r="O162" s="552"/>
      <c r="P162" s="100"/>
      <c r="Q162" s="101"/>
      <c r="R162" s="92"/>
      <c r="S162" s="92"/>
      <c r="T162" s="69"/>
      <c r="U162" s="69"/>
      <c r="V162" s="69"/>
      <c r="W162" s="69"/>
      <c r="X162" s="69"/>
      <c r="Y162" s="69"/>
      <c r="Z162" s="69"/>
    </row>
    <row r="163" spans="9:26" ht="18" customHeight="1">
      <c r="I163" s="576"/>
      <c r="J163" s="81"/>
      <c r="K163" s="82"/>
      <c r="L163" s="82"/>
      <c r="M163" s="86"/>
      <c r="N163" s="86"/>
      <c r="O163" s="552"/>
      <c r="P163" s="100"/>
      <c r="Q163" s="92"/>
      <c r="R163" s="92"/>
      <c r="S163" s="92"/>
      <c r="T163" s="69"/>
      <c r="U163" s="69"/>
      <c r="V163" s="69"/>
      <c r="W163" s="69"/>
      <c r="X163" s="69"/>
      <c r="Y163" s="69"/>
      <c r="Z163" s="69"/>
    </row>
    <row r="164" spans="9:26" ht="18" customHeight="1">
      <c r="I164" s="576"/>
      <c r="J164" s="81"/>
      <c r="K164" s="82"/>
      <c r="L164" s="82"/>
      <c r="M164" s="86"/>
      <c r="N164" s="86"/>
      <c r="O164" s="552"/>
      <c r="P164" s="100"/>
      <c r="Q164" s="92"/>
      <c r="R164" s="92"/>
      <c r="S164" s="92"/>
      <c r="T164" s="69"/>
      <c r="U164" s="69"/>
      <c r="V164" s="69"/>
      <c r="W164" s="69"/>
      <c r="X164" s="69"/>
      <c r="Y164" s="69"/>
      <c r="Z164" s="69"/>
    </row>
    <row r="165" spans="9:26" ht="18" customHeight="1">
      <c r="I165" s="576"/>
      <c r="J165" s="81"/>
      <c r="K165" s="82"/>
      <c r="L165" s="82"/>
      <c r="M165" s="86"/>
      <c r="N165" s="86"/>
      <c r="O165" s="552"/>
      <c r="P165" s="100"/>
      <c r="Q165" s="92"/>
      <c r="R165" s="92"/>
      <c r="S165" s="92"/>
      <c r="T165" s="69"/>
      <c r="U165" s="69"/>
      <c r="V165" s="69"/>
      <c r="W165" s="69"/>
      <c r="X165" s="69"/>
      <c r="Y165" s="69"/>
      <c r="Z165" s="69"/>
    </row>
    <row r="166" spans="9:26" ht="18" customHeight="1">
      <c r="I166" s="568"/>
      <c r="J166" s="568"/>
      <c r="K166" s="568"/>
      <c r="L166" s="73"/>
      <c r="M166" s="88"/>
      <c r="N166" s="88"/>
      <c r="O166" s="102"/>
      <c r="P166" s="100"/>
      <c r="Q166" s="92"/>
      <c r="R166" s="92"/>
      <c r="S166" s="92"/>
      <c r="T166" s="69"/>
      <c r="U166" s="69"/>
      <c r="V166" s="69"/>
      <c r="W166" s="69"/>
      <c r="X166" s="69"/>
      <c r="Y166" s="69"/>
      <c r="Z166" s="69"/>
    </row>
    <row r="167" spans="9:26">
      <c r="I167" s="575"/>
      <c r="J167" s="81"/>
      <c r="K167" s="82"/>
      <c r="L167" s="82"/>
      <c r="M167" s="86"/>
      <c r="N167" s="86"/>
      <c r="O167" s="551"/>
      <c r="P167" s="100"/>
      <c r="Q167" s="92"/>
      <c r="R167" s="92"/>
      <c r="S167" s="92"/>
      <c r="T167" s="69"/>
      <c r="U167" s="69"/>
      <c r="V167" s="69"/>
      <c r="W167" s="69"/>
      <c r="X167" s="69"/>
      <c r="Y167" s="69"/>
      <c r="Z167" s="69"/>
    </row>
    <row r="168" spans="9:26" ht="18" customHeight="1">
      <c r="I168" s="575"/>
      <c r="J168" s="81"/>
      <c r="K168" s="82"/>
      <c r="L168" s="82"/>
      <c r="M168" s="86"/>
      <c r="N168" s="86"/>
      <c r="O168" s="551"/>
      <c r="P168" s="100"/>
      <c r="Q168" s="92"/>
      <c r="R168" s="92"/>
      <c r="S168" s="92"/>
      <c r="T168" s="69"/>
      <c r="U168" s="69"/>
      <c r="V168" s="69"/>
      <c r="W168" s="69"/>
      <c r="X168" s="69"/>
      <c r="Y168" s="69"/>
      <c r="Z168" s="69"/>
    </row>
    <row r="169" spans="9:26" ht="18" customHeight="1">
      <c r="I169" s="575"/>
      <c r="J169" s="81"/>
      <c r="K169" s="82"/>
      <c r="L169" s="82"/>
      <c r="M169" s="86"/>
      <c r="N169" s="86"/>
      <c r="O169" s="551"/>
      <c r="P169" s="100"/>
      <c r="Q169" s="92"/>
      <c r="R169" s="92"/>
      <c r="S169" s="92"/>
      <c r="T169" s="69"/>
      <c r="U169" s="69"/>
      <c r="V169" s="69"/>
      <c r="W169" s="69"/>
      <c r="X169" s="69"/>
      <c r="Y169" s="69"/>
      <c r="Z169" s="69"/>
    </row>
    <row r="170" spans="9:26" ht="18" customHeight="1">
      <c r="I170" s="575"/>
      <c r="J170" s="81"/>
      <c r="K170" s="82"/>
      <c r="L170" s="82"/>
      <c r="M170" s="86"/>
      <c r="N170" s="86"/>
      <c r="O170" s="551"/>
      <c r="P170" s="100"/>
      <c r="Q170" s="92"/>
      <c r="R170" s="92"/>
      <c r="S170" s="92"/>
      <c r="T170" s="69"/>
      <c r="U170" s="69"/>
      <c r="V170" s="69"/>
      <c r="W170" s="69"/>
      <c r="X170" s="69"/>
      <c r="Y170" s="69"/>
      <c r="Z170" s="69"/>
    </row>
    <row r="171" spans="9:26" ht="18" customHeight="1">
      <c r="I171" s="575"/>
      <c r="J171" s="81"/>
      <c r="K171" s="82"/>
      <c r="L171" s="82"/>
      <c r="M171" s="86"/>
      <c r="N171" s="86"/>
      <c r="O171" s="551"/>
      <c r="P171" s="100"/>
      <c r="Q171" s="92"/>
      <c r="R171" s="92"/>
      <c r="S171" s="92"/>
      <c r="T171" s="69"/>
      <c r="U171" s="69"/>
      <c r="V171" s="69"/>
      <c r="W171" s="69"/>
      <c r="X171" s="69"/>
      <c r="Y171" s="69"/>
      <c r="Z171" s="69"/>
    </row>
    <row r="172" spans="9:26" ht="18" customHeight="1">
      <c r="I172" s="575"/>
      <c r="J172" s="81"/>
      <c r="K172" s="82"/>
      <c r="L172" s="82"/>
      <c r="M172" s="86"/>
      <c r="N172" s="86"/>
      <c r="O172" s="551"/>
      <c r="P172" s="100"/>
      <c r="Q172" s="92"/>
      <c r="R172" s="92"/>
      <c r="S172" s="92"/>
      <c r="T172" s="69"/>
      <c r="U172" s="69"/>
      <c r="V172" s="69"/>
      <c r="W172" s="69"/>
      <c r="X172" s="69"/>
      <c r="Y172" s="69"/>
      <c r="Z172" s="69"/>
    </row>
    <row r="173" spans="9:26" ht="18" customHeight="1">
      <c r="I173" s="575"/>
      <c r="J173" s="81"/>
      <c r="K173" s="82"/>
      <c r="L173" s="82"/>
      <c r="M173" s="86"/>
      <c r="N173" s="86"/>
      <c r="O173" s="551"/>
      <c r="P173" s="69"/>
      <c r="Q173" s="92"/>
      <c r="R173" s="92"/>
      <c r="S173" s="92"/>
      <c r="T173" s="69"/>
      <c r="U173" s="69"/>
      <c r="V173" s="69"/>
      <c r="W173" s="69"/>
      <c r="X173" s="69"/>
      <c r="Y173" s="69"/>
      <c r="Z173" s="69"/>
    </row>
    <row r="174" spans="9:26" ht="18" customHeight="1">
      <c r="I174" s="575"/>
      <c r="J174" s="81"/>
      <c r="K174" s="82"/>
      <c r="L174" s="82"/>
      <c r="M174" s="86"/>
      <c r="N174" s="86"/>
      <c r="O174" s="551"/>
      <c r="P174" s="100"/>
      <c r="Q174" s="92"/>
      <c r="R174" s="92"/>
      <c r="S174" s="92"/>
      <c r="T174" s="69"/>
      <c r="U174" s="69"/>
      <c r="V174" s="69"/>
      <c r="W174" s="69"/>
      <c r="X174" s="69"/>
      <c r="Y174" s="69"/>
      <c r="Z174" s="69"/>
    </row>
    <row r="175" spans="9:26" ht="18" customHeight="1">
      <c r="I175" s="575"/>
      <c r="J175" s="81"/>
      <c r="K175" s="82"/>
      <c r="L175" s="82"/>
      <c r="M175" s="86"/>
      <c r="N175" s="86"/>
      <c r="O175" s="551"/>
      <c r="P175" s="100"/>
      <c r="Q175" s="92"/>
      <c r="R175" s="92"/>
      <c r="S175" s="92"/>
      <c r="T175" s="69"/>
      <c r="U175" s="69"/>
      <c r="V175" s="69"/>
      <c r="W175" s="69"/>
      <c r="X175" s="69"/>
      <c r="Y175" s="69"/>
      <c r="Z175" s="69"/>
    </row>
    <row r="176" spans="9:26" ht="18" customHeight="1">
      <c r="I176" s="575"/>
      <c r="J176" s="81"/>
      <c r="K176" s="82"/>
      <c r="L176" s="82"/>
      <c r="M176" s="86"/>
      <c r="N176" s="86"/>
      <c r="O176" s="551"/>
      <c r="P176" s="100"/>
      <c r="Q176" s="92"/>
      <c r="R176" s="92"/>
      <c r="S176" s="92"/>
      <c r="T176" s="69"/>
      <c r="U176" s="69"/>
      <c r="V176" s="69"/>
      <c r="W176" s="69"/>
      <c r="X176" s="69"/>
      <c r="Y176" s="69"/>
      <c r="Z176" s="69"/>
    </row>
    <row r="177" spans="9:26" ht="18" customHeight="1">
      <c r="I177" s="575"/>
      <c r="J177" s="81"/>
      <c r="K177" s="82"/>
      <c r="L177" s="82"/>
      <c r="M177" s="86"/>
      <c r="N177" s="103"/>
      <c r="O177" s="551"/>
      <c r="P177" s="100"/>
      <c r="Q177" s="92"/>
      <c r="R177" s="92"/>
      <c r="S177" s="92"/>
      <c r="T177" s="69"/>
      <c r="U177" s="69"/>
      <c r="V177" s="69"/>
      <c r="W177" s="69"/>
      <c r="X177" s="69"/>
      <c r="Y177" s="69"/>
      <c r="Z177" s="69"/>
    </row>
    <row r="178" spans="9:26" ht="18" customHeight="1">
      <c r="I178" s="575"/>
      <c r="J178" s="90"/>
      <c r="K178" s="103"/>
      <c r="L178" s="82"/>
      <c r="M178" s="86"/>
      <c r="N178" s="103"/>
      <c r="O178" s="551"/>
      <c r="P178" s="100"/>
      <c r="Q178" s="92"/>
      <c r="R178" s="92"/>
      <c r="S178" s="92"/>
      <c r="T178" s="69"/>
      <c r="U178" s="69"/>
      <c r="V178" s="69"/>
      <c r="W178" s="69"/>
      <c r="X178" s="69"/>
      <c r="Y178" s="69"/>
      <c r="Z178" s="69"/>
    </row>
    <row r="179" spans="9:26" ht="18" customHeight="1">
      <c r="I179" s="568"/>
      <c r="J179" s="568"/>
      <c r="K179" s="568"/>
      <c r="L179" s="104"/>
      <c r="M179" s="88"/>
      <c r="N179" s="88"/>
      <c r="O179" s="69"/>
      <c r="P179" s="69"/>
      <c r="Q179" s="92"/>
      <c r="R179" s="92"/>
      <c r="S179" s="92"/>
      <c r="T179" s="69"/>
      <c r="U179" s="69"/>
      <c r="V179" s="69"/>
      <c r="W179" s="69"/>
      <c r="X179" s="69"/>
      <c r="Y179" s="69"/>
      <c r="Z179" s="69"/>
    </row>
    <row r="180" spans="9:26" ht="18" customHeight="1">
      <c r="I180" s="574"/>
      <c r="J180" s="574"/>
      <c r="K180" s="574"/>
      <c r="L180" s="88"/>
      <c r="M180" s="88"/>
      <c r="N180" s="92"/>
      <c r="O180" s="92"/>
      <c r="P180" s="92"/>
      <c r="Q180" s="92"/>
      <c r="R180" s="92"/>
      <c r="S180" s="92"/>
      <c r="T180" s="69"/>
      <c r="U180" s="69"/>
      <c r="V180" s="69"/>
      <c r="W180" s="69"/>
      <c r="X180" s="69"/>
      <c r="Y180" s="69"/>
      <c r="Z180" s="69"/>
    </row>
  </sheetData>
  <autoFilter ref="H20:H138" xr:uid="{00000000-0001-0000-0000-000000000000}"/>
  <mergeCells count="77">
    <mergeCell ref="A1:C1"/>
    <mergeCell ref="A69:D69"/>
    <mergeCell ref="A9:G9"/>
    <mergeCell ref="A10:G10"/>
    <mergeCell ref="B19:B20"/>
    <mergeCell ref="C19:C20"/>
    <mergeCell ref="D19:D20"/>
    <mergeCell ref="E19:E20"/>
    <mergeCell ref="A3:C3"/>
    <mergeCell ref="A18:G18"/>
    <mergeCell ref="A11:C11"/>
    <mergeCell ref="A23:C23"/>
    <mergeCell ref="A21:C21"/>
    <mergeCell ref="A4:C4"/>
    <mergeCell ref="A5:C5"/>
    <mergeCell ref="A6:C6"/>
    <mergeCell ref="I180:K180"/>
    <mergeCell ref="I122:I165"/>
    <mergeCell ref="I166:K166"/>
    <mergeCell ref="I167:I178"/>
    <mergeCell ref="A96:F96"/>
    <mergeCell ref="A117:F117"/>
    <mergeCell ref="B126:B127"/>
    <mergeCell ref="C126:C127"/>
    <mergeCell ref="D126:D127"/>
    <mergeCell ref="E126:E127"/>
    <mergeCell ref="A130:F130"/>
    <mergeCell ref="A132:G132"/>
    <mergeCell ref="B134:B135"/>
    <mergeCell ref="A103:C103"/>
    <mergeCell ref="A107:C107"/>
    <mergeCell ref="A111:C111"/>
    <mergeCell ref="A7:C7"/>
    <mergeCell ref="I179:K179"/>
    <mergeCell ref="O122:O165"/>
    <mergeCell ref="O167:O178"/>
    <mergeCell ref="A124:G124"/>
    <mergeCell ref="A30:F30"/>
    <mergeCell ref="A77:G77"/>
    <mergeCell ref="A70:D70"/>
    <mergeCell ref="A73:G73"/>
    <mergeCell ref="A71:D71"/>
    <mergeCell ref="A75:G75"/>
    <mergeCell ref="A78:G78"/>
    <mergeCell ref="B80:B81"/>
    <mergeCell ref="C80:C81"/>
    <mergeCell ref="D80:D81"/>
    <mergeCell ref="E80:E81"/>
    <mergeCell ref="A82:C82"/>
    <mergeCell ref="A86:C86"/>
    <mergeCell ref="A90:C90"/>
    <mergeCell ref="A94:F94"/>
    <mergeCell ref="A95:D95"/>
    <mergeCell ref="A98:G98"/>
    <mergeCell ref="A99:G99"/>
    <mergeCell ref="B101:B102"/>
    <mergeCell ref="C101:C102"/>
    <mergeCell ref="D101:D102"/>
    <mergeCell ref="E101:E102"/>
    <mergeCell ref="A115:F115"/>
    <mergeCell ref="A116:D116"/>
    <mergeCell ref="C134:C135"/>
    <mergeCell ref="D134:D135"/>
    <mergeCell ref="E134:E135"/>
    <mergeCell ref="A138:F138"/>
    <mergeCell ref="A141:G141"/>
    <mergeCell ref="B155:C155"/>
    <mergeCell ref="B156:C156"/>
    <mergeCell ref="A142:G142"/>
    <mergeCell ref="A143:G143"/>
    <mergeCell ref="A144:G144"/>
    <mergeCell ref="A145:G145"/>
    <mergeCell ref="A147:C147"/>
    <mergeCell ref="A148:C148"/>
    <mergeCell ref="A149:G149"/>
    <mergeCell ref="A150:G150"/>
    <mergeCell ref="A151:G151"/>
  </mergeCells>
  <phoneticPr fontId="16" type="noConversion"/>
  <hyperlinks>
    <hyperlink ref="B156" r:id="rId1" xr:uid="{C9035CFD-4E71-4538-A837-C525A0A1494A}"/>
    <hyperlink ref="A148" r:id="rId2" xr:uid="{2AB35209-C765-4A91-848E-6C27609AC7FB}"/>
  </hyperlinks>
  <pageMargins left="0.70866141732283505" right="0.23622047244094499" top="1.14173228346457" bottom="1.1599999999999999" header="0.196850393700787" footer="0.15748031496063"/>
  <pageSetup paperSize="9" scale="83" orientation="portrait" r:id="rId3"/>
  <headerFooter scaleWithDoc="0" alignWithMargins="0">
    <oddHeader>&amp;L&amp;G&amp;R&amp;G</oddHeader>
    <oddFooter xml:space="preserve">&amp;L
RO33404978
J40/8589/2014
RO56INGB0000999915150915
ING BANK NV&amp;CStr. Învingătorilor nr. 27, Sector 3, București
Tel :  (+4) 0314.361.836
Mobil:  (+4) 0724.204.888
             (+4) 0766.367.287&amp;REmail: 
comercial@magnumheating.ro
</oddFooter>
  </headerFooter>
  <colBreaks count="1" manualBreakCount="1">
    <brk id="7" max="1048575" man="1"/>
  </colBreaks>
  <drawing r:id="rId4"/>
  <legacyDrawing r:id="rId5"/>
  <legacyDrawingHF r:id="rId6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79AF70-929E-4446-A3C2-66D15783F521}">
  <sheetPr>
    <tabColor rgb="FFFF66FF"/>
  </sheetPr>
  <dimension ref="A1:AG189"/>
  <sheetViews>
    <sheetView zoomScaleNormal="100" zoomScaleSheetLayoutView="85" workbookViewId="0">
      <selection activeCell="I26" sqref="I26"/>
    </sheetView>
  </sheetViews>
  <sheetFormatPr defaultRowHeight="14.4"/>
  <cols>
    <col min="1" max="1" width="13.33203125" customWidth="1"/>
    <col min="2" max="2" width="8.44140625" customWidth="1"/>
    <col min="3" max="3" width="10.33203125" customWidth="1"/>
    <col min="4" max="4" width="11.5546875" customWidth="1"/>
    <col min="5" max="5" width="8.109375" customWidth="1"/>
    <col min="6" max="6" width="12" customWidth="1"/>
    <col min="7" max="7" width="8.88671875" customWidth="1"/>
    <col min="8" max="8" width="9.6640625" customWidth="1"/>
    <col min="9" max="9" width="8.6640625" customWidth="1"/>
    <col min="10" max="10" width="9.44140625" customWidth="1"/>
    <col min="11" max="11" width="12.44140625" customWidth="1"/>
    <col min="12" max="12" width="11.6640625" customWidth="1"/>
    <col min="14" max="14" width="9.44140625" customWidth="1"/>
    <col min="15" max="15" width="9.33203125" customWidth="1"/>
    <col min="16" max="16" width="9" customWidth="1"/>
    <col min="17" max="17" width="11.88671875" customWidth="1"/>
    <col min="19" max="19" width="9.109375" customWidth="1"/>
    <col min="20" max="20" width="8.88671875" customWidth="1"/>
    <col min="21" max="21" width="9.33203125" customWidth="1"/>
    <col min="22" max="22" width="10.88671875" customWidth="1"/>
    <col min="23" max="23" width="11.44140625" customWidth="1"/>
    <col min="28" max="28" width="11.109375" customWidth="1"/>
    <col min="31" max="31" width="10.44140625" customWidth="1"/>
    <col min="33" max="33" width="10.33203125" customWidth="1"/>
  </cols>
  <sheetData>
    <row r="1" spans="1:33" ht="24.75" customHeight="1" thickTop="1" thickBot="1">
      <c r="A1" s="579" t="s">
        <v>196</v>
      </c>
      <c r="B1" s="580"/>
      <c r="C1" s="580"/>
      <c r="D1" s="580"/>
      <c r="E1" s="580"/>
      <c r="F1" s="580"/>
      <c r="G1" s="580"/>
      <c r="H1" s="580"/>
      <c r="I1" s="580"/>
      <c r="J1" s="580"/>
      <c r="K1" s="54"/>
      <c r="L1" s="579" t="s">
        <v>327</v>
      </c>
      <c r="M1" s="580"/>
      <c r="N1" s="580"/>
      <c r="O1" s="580"/>
      <c r="P1" s="580"/>
      <c r="Q1" s="580"/>
      <c r="R1" s="580"/>
      <c r="S1" s="580"/>
      <c r="T1" s="580"/>
      <c r="U1" s="580"/>
      <c r="W1" s="579" t="s">
        <v>311</v>
      </c>
      <c r="X1" s="580"/>
      <c r="Y1" s="580"/>
      <c r="Z1" s="580"/>
      <c r="AA1" s="580"/>
      <c r="AB1" s="580"/>
      <c r="AC1" s="580"/>
      <c r="AD1" s="580"/>
      <c r="AE1" s="580"/>
      <c r="AF1" s="580"/>
    </row>
    <row r="2" spans="1:33" ht="24" customHeight="1" thickTop="1" thickBot="1">
      <c r="A2" s="581" t="s">
        <v>187</v>
      </c>
      <c r="B2" s="582"/>
      <c r="C2" s="582"/>
      <c r="D2" s="582"/>
      <c r="E2" s="582"/>
      <c r="F2" s="583" t="s">
        <v>189</v>
      </c>
      <c r="G2" s="584"/>
      <c r="H2" s="584"/>
      <c r="I2" s="584"/>
      <c r="J2" s="584"/>
      <c r="K2" s="151"/>
      <c r="L2" s="581" t="s">
        <v>187</v>
      </c>
      <c r="M2" s="582"/>
      <c r="N2" s="582"/>
      <c r="O2" s="582"/>
      <c r="P2" s="582"/>
      <c r="Q2" s="583" t="s">
        <v>189</v>
      </c>
      <c r="R2" s="584"/>
      <c r="S2" s="584"/>
      <c r="T2" s="584"/>
      <c r="U2" s="584"/>
      <c r="W2" s="581" t="s">
        <v>187</v>
      </c>
      <c r="X2" s="582"/>
      <c r="Y2" s="582"/>
      <c r="Z2" s="582"/>
      <c r="AA2" s="582"/>
      <c r="AB2" s="583" t="s">
        <v>189</v>
      </c>
      <c r="AC2" s="584"/>
      <c r="AD2" s="584"/>
      <c r="AE2" s="584"/>
      <c r="AF2" s="584"/>
    </row>
    <row r="3" spans="1:33" ht="38.25" customHeight="1" thickTop="1" thickBot="1">
      <c r="A3" s="55"/>
      <c r="B3" s="55" t="s">
        <v>144</v>
      </c>
      <c r="C3" s="55" t="s">
        <v>158</v>
      </c>
      <c r="D3" s="55" t="s">
        <v>310</v>
      </c>
      <c r="E3" s="55" t="s">
        <v>223</v>
      </c>
      <c r="F3" s="55"/>
      <c r="G3" s="55" t="s">
        <v>144</v>
      </c>
      <c r="H3" s="55" t="s">
        <v>145</v>
      </c>
      <c r="I3" s="55" t="s">
        <v>309</v>
      </c>
      <c r="J3" s="55" t="s">
        <v>223</v>
      </c>
      <c r="K3" s="191" t="s">
        <v>222</v>
      </c>
      <c r="L3" s="55"/>
      <c r="M3" s="55" t="s">
        <v>144</v>
      </c>
      <c r="N3" s="55" t="s">
        <v>158</v>
      </c>
      <c r="O3" s="55" t="s">
        <v>206</v>
      </c>
      <c r="P3" s="55" t="s">
        <v>223</v>
      </c>
      <c r="Q3" s="55"/>
      <c r="R3" s="55" t="s">
        <v>144</v>
      </c>
      <c r="S3" s="55" t="s">
        <v>145</v>
      </c>
      <c r="T3" s="55" t="s">
        <v>186</v>
      </c>
      <c r="U3" s="55" t="s">
        <v>223</v>
      </c>
      <c r="V3" s="56"/>
      <c r="W3" s="55"/>
      <c r="X3" s="55" t="s">
        <v>144</v>
      </c>
      <c r="Y3" s="55" t="s">
        <v>158</v>
      </c>
      <c r="Z3" s="55" t="s">
        <v>206</v>
      </c>
      <c r="AA3" s="55" t="s">
        <v>223</v>
      </c>
      <c r="AB3" s="55"/>
      <c r="AC3" s="55" t="s">
        <v>144</v>
      </c>
      <c r="AD3" s="55" t="s">
        <v>145</v>
      </c>
      <c r="AE3" s="55" t="s">
        <v>186</v>
      </c>
      <c r="AF3" s="55" t="s">
        <v>223</v>
      </c>
      <c r="AG3" s="56"/>
    </row>
    <row r="4" spans="1:33" ht="15.9" customHeight="1" thickTop="1" thickBot="1">
      <c r="A4" s="57" t="s">
        <v>146</v>
      </c>
      <c r="B4" s="58"/>
      <c r="C4" s="141">
        <f>B4*8</f>
        <v>0</v>
      </c>
      <c r="D4" s="142">
        <f>(ROUNDUP(C4/90,0))</f>
        <v>0</v>
      </c>
      <c r="E4" s="55" t="str">
        <f>IF(AND(ISNUMBER(SEARCH("living",A4)),D4&gt;0),1,IF(AND(ISNUMBER(SEARCH("dining",A4)),D4&gt;0),1,IF(AND(ISNUMBER(SEARCH("bucatarie",A4)),D4&gt;0),1,IF(AND(ISNUMBER(SEARCH("dormitor",A4)),D4&gt;0),1,IF(AND(ISNUMBER(SEARCH("birou",A4)),D4&gt;0),1,IF(AND(ISNUMBER(SEARCH("baie",A4)),D4&gt;0),1,IF(AND(ISNUMBER(SEARCH("liv.+dining",A4)),D4&gt;0),1,IF(AND(ISNUMBER(SEARCH("camera",A4)),D4&gt;0),1,""))))))))</f>
        <v/>
      </c>
      <c r="F4" s="57" t="s">
        <v>146</v>
      </c>
      <c r="G4" s="76"/>
      <c r="H4" s="141">
        <f>G4*8</f>
        <v>0</v>
      </c>
      <c r="I4" s="142">
        <f>(ROUNDUP(H4/90,0))</f>
        <v>0</v>
      </c>
      <c r="J4" s="55" t="str">
        <f>IF(AND(ISNUMBER(SEARCH("living",F4)),I4&gt;0),1,IF(AND(ISNUMBER(SEARCH("dining",F4)),I4&gt;0),1,IF(AND(ISNUMBER(SEARCH("bucatarie",F4)),I4&gt;0),1,IF(AND(ISNUMBER(SEARCH("dormitor",F4)),I4&gt;0),1,IF(AND(ISNUMBER(SEARCH("birou",F4)),I4&gt;0),1,IF(AND(ISNUMBER(SEARCH("baie",F4)),I4&gt;0),1,IF(AND(ISNUMBER(SEARCH("liv.+dining",F4)),I4&gt;0),1,IF(AND(ISNUMBER(SEARCH("camera",F4)),I4&gt;0),1,""))))))))</f>
        <v/>
      </c>
      <c r="K4" s="142" t="s">
        <v>146</v>
      </c>
      <c r="L4" s="57" t="s">
        <v>146</v>
      </c>
      <c r="M4" s="58"/>
      <c r="N4" s="141">
        <f>M4*8</f>
        <v>0</v>
      </c>
      <c r="O4" s="142">
        <f>(ROUNDUP(N4/90,0))</f>
        <v>0</v>
      </c>
      <c r="P4" s="55" t="str">
        <f>IF(AND(ISNUMBER(SEARCH("living",L4)),O4&gt;0),1,IF(AND(ISNUMBER(SEARCH("dining",L4)),O4&gt;0),1,IF(AND(ISNUMBER(SEARCH("bucatarie",L4)),O4&gt;0),1,IF(AND(ISNUMBER(SEARCH("dormitor",L4)),O4&gt;0),1,IF(AND(ISNUMBER(SEARCH("birou",L4)),O4&gt;0),1,IF(AND(ISNUMBER(SEARCH("baie",L4)),O4&gt;0),1,IF(AND(ISNUMBER(SEARCH("liv.+dining",L4)),O4&gt;0),1,IF(AND(ISNUMBER(SEARCH("camera",L4)),O4&gt;0),1,""))))))))</f>
        <v/>
      </c>
      <c r="Q4" s="57" t="s">
        <v>146</v>
      </c>
      <c r="R4" s="76"/>
      <c r="S4" s="141">
        <f>R4*8</f>
        <v>0</v>
      </c>
      <c r="T4" s="142">
        <f>(ROUNDUP(S4/90,0))</f>
        <v>0</v>
      </c>
      <c r="U4" s="55" t="str">
        <f>IF(AND(ISNUMBER(SEARCH("living",Q4)),T4&gt;0),1,IF(AND(ISNUMBER(SEARCH("dining",Q4)),T4&gt;0),1,IF(AND(ISNUMBER(SEARCH("bucatarie",Q4)),T4&gt;0),1,IF(AND(ISNUMBER(SEARCH("dormitor",Q4)),T4&gt;0),1,IF(AND(ISNUMBER(SEARCH("birou",Q4)),T4&gt;0),1,IF(AND(ISNUMBER(SEARCH("baie",Q4)),T4&gt;0),1,IF(AND(ISNUMBER(SEARCH("liv.+dining",Q4)),T4&gt;0),1,IF(AND(ISNUMBER(SEARCH("camera",Q4)),T4&gt;0),1,""))))))))</f>
        <v/>
      </c>
      <c r="V4" s="56"/>
      <c r="W4" s="57" t="s">
        <v>146</v>
      </c>
      <c r="X4" s="58"/>
      <c r="Y4" s="141"/>
      <c r="Z4" s="142">
        <f t="shared" ref="Z4:Z19" si="0">(ROUNDUP(Y4/90,0))</f>
        <v>0</v>
      </c>
      <c r="AA4" s="55" t="str">
        <f t="shared" ref="AA4:AA19" si="1">IF(AND(ISNUMBER(SEARCH("living",W4)),Z4&gt;0),1,IF(AND(ISNUMBER(SEARCH("dining",W4)),Z4&gt;0),1,IF(AND(ISNUMBER(SEARCH("bucatarie",W4)),Z4&gt;0),1,IF(AND(ISNUMBER(SEARCH("dormitor",W4)),Z4&gt;0),1,IF(AND(ISNUMBER(SEARCH("birou",W4)),Z4&gt;0),1,IF(AND(ISNUMBER(SEARCH("baie",W4)),Z4&gt;0),1,IF(AND(ISNUMBER(SEARCH("liv.+dining",W4)),Z4&gt;0),1,IF(AND(ISNUMBER(SEARCH("camera",W4)),Z4&gt;0),1,""))))))))</f>
        <v/>
      </c>
      <c r="AB4" s="57" t="s">
        <v>146</v>
      </c>
      <c r="AC4" s="76"/>
      <c r="AD4" s="141">
        <f t="shared" ref="AD4:AD19" si="2">AC4*8</f>
        <v>0</v>
      </c>
      <c r="AE4" s="142">
        <f t="shared" ref="AE4:AE19" si="3">(ROUNDUP(AD4/90,0))</f>
        <v>0</v>
      </c>
      <c r="AF4" s="55" t="str">
        <f t="shared" ref="AF4:AF19" si="4">IF(AND(ISNUMBER(SEARCH("living",AB4)),AE4&gt;0),1,IF(AND(ISNUMBER(SEARCH("dining",AB4)),AE4&gt;0),1,IF(AND(ISNUMBER(SEARCH("bucatarie",AB4)),AE4&gt;0),1,IF(AND(ISNUMBER(SEARCH("dormitor",AB4)),AE4&gt;0),1,IF(AND(ISNUMBER(SEARCH("birou",AB4)),AE4&gt;0),1,IF(AND(ISNUMBER(SEARCH("baie",AB4)),AE4&gt;0),1,IF(AND(ISNUMBER(SEARCH("liv.+dining",AB4)),AE4&gt;0),1,IF(AND(ISNUMBER(SEARCH("camera",AB4)),AE4&gt;0),1,""))))))))</f>
        <v/>
      </c>
      <c r="AG4" s="56"/>
    </row>
    <row r="5" spans="1:33" ht="15.9" customHeight="1" thickTop="1" thickBot="1">
      <c r="A5" s="57" t="s">
        <v>285</v>
      </c>
      <c r="B5" s="58"/>
      <c r="C5" s="141">
        <f t="shared" ref="C5:C19" si="5">B5*8</f>
        <v>0</v>
      </c>
      <c r="D5" s="142">
        <f t="shared" ref="D5:D19" si="6">(ROUNDUP(C5/90,0))</f>
        <v>0</v>
      </c>
      <c r="E5" s="55" t="str">
        <f t="shared" ref="E5:E19" si="7">IF(AND(ISNUMBER(SEARCH("living",A5)),D5&gt;0),1,IF(AND(ISNUMBER(SEARCH("dining",A5)),D5&gt;0),1,IF(AND(ISNUMBER(SEARCH("bucatarie",A5)),D5&gt;0),1,IF(AND(ISNUMBER(SEARCH("dormitor",A5)),D5&gt;0),1,IF(AND(ISNUMBER(SEARCH("birou",A5)),D5&gt;0),1,IF(AND(ISNUMBER(SEARCH("baie",A5)),D5&gt;0),1,IF(AND(ISNUMBER(SEARCH("liv.+dining",A5)),D5&gt;0),1,IF(AND(ISNUMBER(SEARCH("camera",A5)),D5&gt;0),1,""))))))))</f>
        <v/>
      </c>
      <c r="F5" s="57" t="s">
        <v>149</v>
      </c>
      <c r="G5" s="76"/>
      <c r="H5" s="141">
        <f t="shared" ref="H5:H19" si="8">G5*8</f>
        <v>0</v>
      </c>
      <c r="I5" s="142">
        <f t="shared" ref="I5:I19" si="9">(ROUNDUP(H5/90,0))</f>
        <v>0</v>
      </c>
      <c r="J5" s="55" t="str">
        <f t="shared" ref="J5:J19" si="10">IF(AND(ISNUMBER(SEARCH("living",F5)),I5&gt;0),1,IF(AND(ISNUMBER(SEARCH("dining",F5)),I5&gt;0),1,IF(AND(ISNUMBER(SEARCH("bucatarie",F5)),I5&gt;0),1,IF(AND(ISNUMBER(SEARCH("dormitor",F5)),I5&gt;0),1,IF(AND(ISNUMBER(SEARCH("birou",F5)),I5&gt;0),1,IF(AND(ISNUMBER(SEARCH("baie",F5)),I5&gt;0),1,IF(AND(ISNUMBER(SEARCH("liv.+dining",F5)),I5&gt;0),1,IF(AND(ISNUMBER(SEARCH("camera",F5)),I5&gt;0),1,""))))))))</f>
        <v/>
      </c>
      <c r="K5" s="142" t="s">
        <v>147</v>
      </c>
      <c r="L5" s="57" t="s">
        <v>146</v>
      </c>
      <c r="M5" s="58"/>
      <c r="N5" s="141">
        <f t="shared" ref="N5:N19" si="11">M5*8</f>
        <v>0</v>
      </c>
      <c r="O5" s="142">
        <f t="shared" ref="O5:O19" si="12">(ROUNDUP(N5/90,0))</f>
        <v>0</v>
      </c>
      <c r="P5" s="55" t="str">
        <f t="shared" ref="P5:P19" si="13">IF(AND(ISNUMBER(SEARCH("living",L5)),O5&gt;0),1,IF(AND(ISNUMBER(SEARCH("dining",L5)),O5&gt;0),1,IF(AND(ISNUMBER(SEARCH("bucatarie",L5)),O5&gt;0),1,IF(AND(ISNUMBER(SEARCH("dormitor",L5)),O5&gt;0),1,IF(AND(ISNUMBER(SEARCH("birou",L5)),O5&gt;0),1,IF(AND(ISNUMBER(SEARCH("baie",L5)),O5&gt;0),1,IF(AND(ISNUMBER(SEARCH("liv.+dining",L5)),O5&gt;0),1,IF(AND(ISNUMBER(SEARCH("camera",L5)),O5&gt;0),1,""))))))))</f>
        <v/>
      </c>
      <c r="Q5" s="57" t="s">
        <v>147</v>
      </c>
      <c r="R5" s="76"/>
      <c r="S5" s="141">
        <f t="shared" ref="S5:S19" si="14">R5*8</f>
        <v>0</v>
      </c>
      <c r="T5" s="142">
        <f t="shared" ref="T5:T19" si="15">(ROUNDUP(S5/90,0))</f>
        <v>0</v>
      </c>
      <c r="U5" s="55" t="str">
        <f t="shared" ref="U5:U19" si="16">IF(AND(ISNUMBER(SEARCH("living",Q5)),T5&gt;0),1,IF(AND(ISNUMBER(SEARCH("dining",Q5)),T5&gt;0),1,IF(AND(ISNUMBER(SEARCH("bucatarie",Q5)),T5&gt;0),1,IF(AND(ISNUMBER(SEARCH("dormitor",Q5)),T5&gt;0),1,IF(AND(ISNUMBER(SEARCH("birou",Q5)),T5&gt;0),1,IF(AND(ISNUMBER(SEARCH("baie",Q5)),T5&gt;0),1,IF(AND(ISNUMBER(SEARCH("liv.+dining",Q5)),T5&gt;0),1,IF(AND(ISNUMBER(SEARCH("camera",Q5)),T5&gt;0),1,""))))))))</f>
        <v/>
      </c>
      <c r="V5" s="56"/>
      <c r="W5" s="57" t="s">
        <v>146</v>
      </c>
      <c r="X5" s="58"/>
      <c r="Y5" s="141"/>
      <c r="Z5" s="142">
        <f t="shared" si="0"/>
        <v>0</v>
      </c>
      <c r="AA5" s="55" t="str">
        <f t="shared" si="1"/>
        <v/>
      </c>
      <c r="AB5" s="57" t="s">
        <v>147</v>
      </c>
      <c r="AC5" s="76"/>
      <c r="AD5" s="141">
        <f t="shared" si="2"/>
        <v>0</v>
      </c>
      <c r="AE5" s="142">
        <f t="shared" si="3"/>
        <v>0</v>
      </c>
      <c r="AF5" s="55" t="str">
        <f t="shared" si="4"/>
        <v/>
      </c>
      <c r="AG5" s="56"/>
    </row>
    <row r="6" spans="1:33" ht="15.9" customHeight="1" thickTop="1" thickBot="1">
      <c r="A6" s="57" t="s">
        <v>147</v>
      </c>
      <c r="B6" s="58"/>
      <c r="C6" s="141">
        <f t="shared" si="5"/>
        <v>0</v>
      </c>
      <c r="D6" s="142">
        <f t="shared" si="6"/>
        <v>0</v>
      </c>
      <c r="E6" s="55" t="str">
        <f t="shared" si="7"/>
        <v/>
      </c>
      <c r="F6" s="57" t="s">
        <v>148</v>
      </c>
      <c r="G6" s="76"/>
      <c r="H6" s="141">
        <f t="shared" si="8"/>
        <v>0</v>
      </c>
      <c r="I6" s="142">
        <f t="shared" si="9"/>
        <v>0</v>
      </c>
      <c r="J6" s="55" t="str">
        <f t="shared" si="10"/>
        <v/>
      </c>
      <c r="K6" s="142" t="s">
        <v>148</v>
      </c>
      <c r="L6" s="57" t="s">
        <v>147</v>
      </c>
      <c r="M6" s="58"/>
      <c r="N6" s="141">
        <f t="shared" si="11"/>
        <v>0</v>
      </c>
      <c r="O6" s="142">
        <f t="shared" si="12"/>
        <v>0</v>
      </c>
      <c r="P6" s="55" t="str">
        <f t="shared" si="13"/>
        <v/>
      </c>
      <c r="Q6" s="57" t="s">
        <v>148</v>
      </c>
      <c r="R6" s="76"/>
      <c r="S6" s="141">
        <f t="shared" si="14"/>
        <v>0</v>
      </c>
      <c r="T6" s="142">
        <f t="shared" si="15"/>
        <v>0</v>
      </c>
      <c r="U6" s="55" t="str">
        <f t="shared" si="16"/>
        <v/>
      </c>
      <c r="V6" s="56"/>
      <c r="W6" s="57" t="s">
        <v>147</v>
      </c>
      <c r="X6" s="58"/>
      <c r="Y6" s="141"/>
      <c r="Z6" s="142">
        <f t="shared" si="0"/>
        <v>0</v>
      </c>
      <c r="AA6" s="55" t="str">
        <f t="shared" si="1"/>
        <v/>
      </c>
      <c r="AB6" s="57" t="s">
        <v>148</v>
      </c>
      <c r="AC6" s="76"/>
      <c r="AD6" s="141">
        <f t="shared" si="2"/>
        <v>0</v>
      </c>
      <c r="AE6" s="142">
        <f t="shared" si="3"/>
        <v>0</v>
      </c>
      <c r="AF6" s="55" t="str">
        <f t="shared" si="4"/>
        <v/>
      </c>
      <c r="AG6" s="56"/>
    </row>
    <row r="7" spans="1:33" ht="15.9" customHeight="1" thickTop="1" thickBot="1">
      <c r="A7" s="57" t="s">
        <v>148</v>
      </c>
      <c r="B7" s="58"/>
      <c r="C7" s="141">
        <f t="shared" si="5"/>
        <v>0</v>
      </c>
      <c r="D7" s="142">
        <f t="shared" si="6"/>
        <v>0</v>
      </c>
      <c r="E7" s="55" t="str">
        <f t="shared" si="7"/>
        <v/>
      </c>
      <c r="F7" s="57" t="s">
        <v>149</v>
      </c>
      <c r="G7" s="76"/>
      <c r="H7" s="141">
        <f t="shared" si="8"/>
        <v>0</v>
      </c>
      <c r="I7" s="142">
        <f t="shared" si="9"/>
        <v>0</v>
      </c>
      <c r="J7" s="55" t="str">
        <f t="shared" si="10"/>
        <v/>
      </c>
      <c r="K7" s="142" t="s">
        <v>149</v>
      </c>
      <c r="L7" s="57" t="s">
        <v>148</v>
      </c>
      <c r="M7" s="58"/>
      <c r="N7" s="141">
        <f t="shared" si="11"/>
        <v>0</v>
      </c>
      <c r="O7" s="142">
        <f t="shared" si="12"/>
        <v>0</v>
      </c>
      <c r="P7" s="55" t="str">
        <f t="shared" si="13"/>
        <v/>
      </c>
      <c r="Q7" s="57" t="s">
        <v>149</v>
      </c>
      <c r="R7" s="76"/>
      <c r="S7" s="141">
        <f t="shared" si="14"/>
        <v>0</v>
      </c>
      <c r="T7" s="142">
        <f t="shared" si="15"/>
        <v>0</v>
      </c>
      <c r="U7" s="55" t="str">
        <f t="shared" si="16"/>
        <v/>
      </c>
      <c r="V7" s="56"/>
      <c r="W7" s="57" t="s">
        <v>148</v>
      </c>
      <c r="X7" s="58"/>
      <c r="Y7" s="141"/>
      <c r="Z7" s="142">
        <f t="shared" si="0"/>
        <v>0</v>
      </c>
      <c r="AA7" s="55" t="str">
        <f t="shared" si="1"/>
        <v/>
      </c>
      <c r="AB7" s="57" t="s">
        <v>149</v>
      </c>
      <c r="AC7" s="76"/>
      <c r="AD7" s="141">
        <f t="shared" si="2"/>
        <v>0</v>
      </c>
      <c r="AE7" s="142">
        <f t="shared" si="3"/>
        <v>0</v>
      </c>
      <c r="AF7" s="55" t="str">
        <f t="shared" si="4"/>
        <v/>
      </c>
      <c r="AG7" s="56"/>
    </row>
    <row r="8" spans="1:33" ht="15.9" customHeight="1" thickTop="1" thickBot="1">
      <c r="A8" s="57" t="s">
        <v>146</v>
      </c>
      <c r="B8" s="58"/>
      <c r="C8" s="141">
        <f t="shared" si="5"/>
        <v>0</v>
      </c>
      <c r="D8" s="142">
        <f t="shared" si="6"/>
        <v>0</v>
      </c>
      <c r="E8" s="55" t="str">
        <f t="shared" si="7"/>
        <v/>
      </c>
      <c r="F8" s="57" t="s">
        <v>153</v>
      </c>
      <c r="G8" s="76"/>
      <c r="H8" s="141">
        <f t="shared" si="8"/>
        <v>0</v>
      </c>
      <c r="I8" s="142">
        <f t="shared" si="9"/>
        <v>0</v>
      </c>
      <c r="J8" s="55" t="str">
        <f t="shared" si="10"/>
        <v/>
      </c>
      <c r="K8" s="142" t="s">
        <v>154</v>
      </c>
      <c r="L8" s="57" t="s">
        <v>146</v>
      </c>
      <c r="M8" s="58"/>
      <c r="N8" s="141">
        <f t="shared" si="11"/>
        <v>0</v>
      </c>
      <c r="O8" s="142">
        <f t="shared" si="12"/>
        <v>0</v>
      </c>
      <c r="P8" s="55" t="str">
        <f t="shared" si="13"/>
        <v/>
      </c>
      <c r="Q8" s="57" t="s">
        <v>153</v>
      </c>
      <c r="R8" s="76"/>
      <c r="S8" s="141">
        <f t="shared" si="14"/>
        <v>0</v>
      </c>
      <c r="T8" s="142">
        <f t="shared" si="15"/>
        <v>0</v>
      </c>
      <c r="U8" s="55" t="str">
        <f t="shared" si="16"/>
        <v/>
      </c>
      <c r="V8" s="56"/>
      <c r="W8" s="57" t="s">
        <v>146</v>
      </c>
      <c r="X8" s="58"/>
      <c r="Y8" s="141"/>
      <c r="Z8" s="142">
        <f t="shared" si="0"/>
        <v>0</v>
      </c>
      <c r="AA8" s="55" t="str">
        <f t="shared" si="1"/>
        <v/>
      </c>
      <c r="AB8" s="57" t="s">
        <v>153</v>
      </c>
      <c r="AC8" s="76"/>
      <c r="AD8" s="141">
        <f t="shared" si="2"/>
        <v>0</v>
      </c>
      <c r="AE8" s="142">
        <f t="shared" si="3"/>
        <v>0</v>
      </c>
      <c r="AF8" s="55" t="str">
        <f t="shared" si="4"/>
        <v/>
      </c>
      <c r="AG8" s="56"/>
    </row>
    <row r="9" spans="1:33" ht="15.9" customHeight="1" thickTop="1" thickBot="1">
      <c r="A9" s="57" t="s">
        <v>153</v>
      </c>
      <c r="B9" s="58"/>
      <c r="C9" s="141">
        <f t="shared" si="5"/>
        <v>0</v>
      </c>
      <c r="D9" s="142">
        <f t="shared" si="6"/>
        <v>0</v>
      </c>
      <c r="E9" s="55" t="str">
        <f t="shared" si="7"/>
        <v/>
      </c>
      <c r="F9" s="57" t="s">
        <v>159</v>
      </c>
      <c r="G9" s="76"/>
      <c r="H9" s="141">
        <f t="shared" si="8"/>
        <v>0</v>
      </c>
      <c r="I9" s="142">
        <f t="shared" si="9"/>
        <v>0</v>
      </c>
      <c r="J9" s="55" t="str">
        <f t="shared" si="10"/>
        <v/>
      </c>
      <c r="K9" s="142" t="s">
        <v>155</v>
      </c>
      <c r="L9" s="57" t="s">
        <v>153</v>
      </c>
      <c r="M9" s="58"/>
      <c r="N9" s="141">
        <f t="shared" si="11"/>
        <v>0</v>
      </c>
      <c r="O9" s="142">
        <f t="shared" si="12"/>
        <v>0</v>
      </c>
      <c r="P9" s="55" t="str">
        <f t="shared" si="13"/>
        <v/>
      </c>
      <c r="Q9" s="57" t="s">
        <v>159</v>
      </c>
      <c r="R9" s="76"/>
      <c r="S9" s="141">
        <f t="shared" si="14"/>
        <v>0</v>
      </c>
      <c r="T9" s="142">
        <f t="shared" si="15"/>
        <v>0</v>
      </c>
      <c r="U9" s="55" t="str">
        <f t="shared" si="16"/>
        <v/>
      </c>
      <c r="V9" s="56"/>
      <c r="W9" s="57" t="s">
        <v>153</v>
      </c>
      <c r="X9" s="58"/>
      <c r="Y9" s="141"/>
      <c r="Z9" s="142">
        <f t="shared" si="0"/>
        <v>0</v>
      </c>
      <c r="AA9" s="55" t="str">
        <f t="shared" si="1"/>
        <v/>
      </c>
      <c r="AB9" s="57" t="s">
        <v>159</v>
      </c>
      <c r="AC9" s="76"/>
      <c r="AD9" s="141">
        <f t="shared" si="2"/>
        <v>0</v>
      </c>
      <c r="AE9" s="142">
        <f t="shared" si="3"/>
        <v>0</v>
      </c>
      <c r="AF9" s="55" t="str">
        <f t="shared" si="4"/>
        <v/>
      </c>
      <c r="AG9" s="56"/>
    </row>
    <row r="10" spans="1:33" ht="15.9" customHeight="1" thickTop="1" thickBot="1">
      <c r="A10" s="60" t="s">
        <v>150</v>
      </c>
      <c r="B10" s="58"/>
      <c r="C10" s="141">
        <f t="shared" si="5"/>
        <v>0</v>
      </c>
      <c r="D10" s="142">
        <f t="shared" si="6"/>
        <v>0</v>
      </c>
      <c r="E10" s="55" t="str">
        <f t="shared" si="7"/>
        <v/>
      </c>
      <c r="F10" s="60" t="s">
        <v>150</v>
      </c>
      <c r="G10" s="76"/>
      <c r="H10" s="141">
        <f t="shared" si="8"/>
        <v>0</v>
      </c>
      <c r="I10" s="142">
        <f t="shared" si="9"/>
        <v>0</v>
      </c>
      <c r="J10" s="55" t="str">
        <f t="shared" si="10"/>
        <v/>
      </c>
      <c r="K10" s="142" t="s">
        <v>152</v>
      </c>
      <c r="L10" s="60" t="s">
        <v>150</v>
      </c>
      <c r="M10" s="58"/>
      <c r="N10" s="141">
        <f t="shared" si="11"/>
        <v>0</v>
      </c>
      <c r="O10" s="142">
        <f t="shared" si="12"/>
        <v>0</v>
      </c>
      <c r="P10" s="55" t="str">
        <f t="shared" si="13"/>
        <v/>
      </c>
      <c r="Q10" s="60" t="s">
        <v>150</v>
      </c>
      <c r="R10" s="76"/>
      <c r="S10" s="141">
        <f t="shared" si="14"/>
        <v>0</v>
      </c>
      <c r="T10" s="142">
        <f t="shared" si="15"/>
        <v>0</v>
      </c>
      <c r="U10" s="55" t="str">
        <f t="shared" si="16"/>
        <v/>
      </c>
      <c r="V10" s="56"/>
      <c r="W10" s="60" t="s">
        <v>150</v>
      </c>
      <c r="X10" s="58"/>
      <c r="Y10" s="141"/>
      <c r="Z10" s="142">
        <f t="shared" si="0"/>
        <v>0</v>
      </c>
      <c r="AA10" s="55" t="str">
        <f t="shared" si="1"/>
        <v/>
      </c>
      <c r="AB10" s="60" t="s">
        <v>150</v>
      </c>
      <c r="AC10" s="76"/>
      <c r="AD10" s="141">
        <f t="shared" si="2"/>
        <v>0</v>
      </c>
      <c r="AE10" s="142">
        <f t="shared" si="3"/>
        <v>0</v>
      </c>
      <c r="AF10" s="55" t="str">
        <f t="shared" si="4"/>
        <v/>
      </c>
      <c r="AG10" s="56"/>
    </row>
    <row r="11" spans="1:33" ht="15.9" customHeight="1" thickTop="1" thickBot="1">
      <c r="A11" s="60" t="s">
        <v>151</v>
      </c>
      <c r="B11" s="58"/>
      <c r="C11" s="141">
        <f t="shared" si="5"/>
        <v>0</v>
      </c>
      <c r="D11" s="142">
        <f t="shared" si="6"/>
        <v>0</v>
      </c>
      <c r="E11" s="55" t="str">
        <f t="shared" si="7"/>
        <v/>
      </c>
      <c r="F11" s="60" t="s">
        <v>151</v>
      </c>
      <c r="G11" s="76"/>
      <c r="H11" s="141">
        <f t="shared" si="8"/>
        <v>0</v>
      </c>
      <c r="I11" s="142">
        <f t="shared" si="9"/>
        <v>0</v>
      </c>
      <c r="J11" s="55" t="str">
        <f t="shared" si="10"/>
        <v/>
      </c>
      <c r="K11" s="142" t="s">
        <v>221</v>
      </c>
      <c r="L11" s="60" t="s">
        <v>151</v>
      </c>
      <c r="M11" s="58"/>
      <c r="N11" s="141">
        <f t="shared" si="11"/>
        <v>0</v>
      </c>
      <c r="O11" s="142">
        <f t="shared" si="12"/>
        <v>0</v>
      </c>
      <c r="P11" s="55" t="str">
        <f t="shared" si="13"/>
        <v/>
      </c>
      <c r="Q11" s="60" t="s">
        <v>151</v>
      </c>
      <c r="R11" s="76"/>
      <c r="S11" s="141">
        <f t="shared" si="14"/>
        <v>0</v>
      </c>
      <c r="T11" s="142">
        <f t="shared" si="15"/>
        <v>0</v>
      </c>
      <c r="U11" s="55" t="str">
        <f t="shared" si="16"/>
        <v/>
      </c>
      <c r="V11" s="56"/>
      <c r="W11" s="60" t="s">
        <v>151</v>
      </c>
      <c r="X11" s="58"/>
      <c r="Y11" s="141"/>
      <c r="Z11" s="142">
        <f t="shared" si="0"/>
        <v>0</v>
      </c>
      <c r="AA11" s="55" t="str">
        <f t="shared" si="1"/>
        <v/>
      </c>
      <c r="AB11" s="60" t="s">
        <v>151</v>
      </c>
      <c r="AC11" s="76"/>
      <c r="AD11" s="141">
        <f t="shared" si="2"/>
        <v>0</v>
      </c>
      <c r="AE11" s="142">
        <f t="shared" si="3"/>
        <v>0</v>
      </c>
      <c r="AF11" s="55" t="str">
        <f t="shared" si="4"/>
        <v/>
      </c>
      <c r="AG11" s="56"/>
    </row>
    <row r="12" spans="1:33" ht="15.9" customHeight="1" thickTop="1" thickBot="1">
      <c r="A12" s="60" t="s">
        <v>152</v>
      </c>
      <c r="B12" s="58"/>
      <c r="C12" s="141">
        <f t="shared" si="5"/>
        <v>0</v>
      </c>
      <c r="D12" s="142">
        <f t="shared" si="6"/>
        <v>0</v>
      </c>
      <c r="E12" s="55" t="str">
        <f t="shared" si="7"/>
        <v/>
      </c>
      <c r="F12" s="60" t="s">
        <v>152</v>
      </c>
      <c r="G12" s="76"/>
      <c r="H12" s="141">
        <f t="shared" si="8"/>
        <v>0</v>
      </c>
      <c r="I12" s="142">
        <f t="shared" si="9"/>
        <v>0</v>
      </c>
      <c r="J12" s="55" t="str">
        <f t="shared" si="10"/>
        <v/>
      </c>
      <c r="K12" s="56"/>
      <c r="L12" s="60" t="s">
        <v>221</v>
      </c>
      <c r="M12" s="58"/>
      <c r="N12" s="141">
        <f t="shared" si="11"/>
        <v>0</v>
      </c>
      <c r="O12" s="142">
        <f t="shared" si="12"/>
        <v>0</v>
      </c>
      <c r="P12" s="55" t="str">
        <f t="shared" si="13"/>
        <v/>
      </c>
      <c r="Q12" s="60" t="s">
        <v>152</v>
      </c>
      <c r="R12" s="76"/>
      <c r="S12" s="141">
        <f t="shared" si="14"/>
        <v>0</v>
      </c>
      <c r="T12" s="142">
        <f t="shared" si="15"/>
        <v>0</v>
      </c>
      <c r="U12" s="55" t="str">
        <f t="shared" si="16"/>
        <v/>
      </c>
      <c r="V12" s="56"/>
      <c r="W12" s="60" t="s">
        <v>221</v>
      </c>
      <c r="X12" s="58"/>
      <c r="Y12" s="141"/>
      <c r="Z12" s="142">
        <f t="shared" si="0"/>
        <v>0</v>
      </c>
      <c r="AA12" s="55" t="str">
        <f t="shared" si="1"/>
        <v/>
      </c>
      <c r="AB12" s="60" t="s">
        <v>152</v>
      </c>
      <c r="AC12" s="76"/>
      <c r="AD12" s="141">
        <f t="shared" si="2"/>
        <v>0</v>
      </c>
      <c r="AE12" s="142">
        <f t="shared" si="3"/>
        <v>0</v>
      </c>
      <c r="AF12" s="55" t="str">
        <f t="shared" si="4"/>
        <v/>
      </c>
      <c r="AG12" s="56"/>
    </row>
    <row r="13" spans="1:33" ht="15.9" customHeight="1" thickTop="1" thickBot="1">
      <c r="A13" s="60" t="s">
        <v>190</v>
      </c>
      <c r="B13" s="58"/>
      <c r="C13" s="141">
        <f t="shared" si="5"/>
        <v>0</v>
      </c>
      <c r="D13" s="142">
        <f t="shared" si="6"/>
        <v>0</v>
      </c>
      <c r="E13" s="55" t="str">
        <f t="shared" si="7"/>
        <v/>
      </c>
      <c r="F13" s="60" t="s">
        <v>286</v>
      </c>
      <c r="G13" s="76"/>
      <c r="H13" s="141">
        <f t="shared" si="8"/>
        <v>0</v>
      </c>
      <c r="I13" s="142">
        <f t="shared" si="9"/>
        <v>0</v>
      </c>
      <c r="J13" s="55" t="str">
        <f t="shared" si="10"/>
        <v/>
      </c>
      <c r="K13" s="56"/>
      <c r="L13" s="60" t="s">
        <v>190</v>
      </c>
      <c r="M13" s="58"/>
      <c r="N13" s="141">
        <f t="shared" si="11"/>
        <v>0</v>
      </c>
      <c r="O13" s="142">
        <f t="shared" si="12"/>
        <v>0</v>
      </c>
      <c r="P13" s="55" t="str">
        <f t="shared" si="13"/>
        <v/>
      </c>
      <c r="Q13" s="60" t="s">
        <v>152</v>
      </c>
      <c r="R13" s="76"/>
      <c r="S13" s="141">
        <f t="shared" si="14"/>
        <v>0</v>
      </c>
      <c r="T13" s="142">
        <f t="shared" si="15"/>
        <v>0</v>
      </c>
      <c r="U13" s="55" t="str">
        <f t="shared" si="16"/>
        <v/>
      </c>
      <c r="V13" s="56"/>
      <c r="W13" s="60" t="s">
        <v>190</v>
      </c>
      <c r="X13" s="58"/>
      <c r="Y13" s="141"/>
      <c r="Z13" s="142">
        <f t="shared" si="0"/>
        <v>0</v>
      </c>
      <c r="AA13" s="55" t="str">
        <f t="shared" si="1"/>
        <v/>
      </c>
      <c r="AB13" s="60" t="s">
        <v>152</v>
      </c>
      <c r="AC13" s="76"/>
      <c r="AD13" s="141">
        <f t="shared" si="2"/>
        <v>0</v>
      </c>
      <c r="AE13" s="142">
        <f t="shared" si="3"/>
        <v>0</v>
      </c>
      <c r="AF13" s="55" t="str">
        <f t="shared" si="4"/>
        <v/>
      </c>
      <c r="AG13" s="56"/>
    </row>
    <row r="14" spans="1:33" ht="15.9" customHeight="1" thickTop="1" thickBot="1">
      <c r="A14" s="60" t="s">
        <v>155</v>
      </c>
      <c r="B14" s="58"/>
      <c r="C14" s="141">
        <f t="shared" si="5"/>
        <v>0</v>
      </c>
      <c r="D14" s="142">
        <f t="shared" si="6"/>
        <v>0</v>
      </c>
      <c r="E14" s="55" t="str">
        <f t="shared" si="7"/>
        <v/>
      </c>
      <c r="F14" s="60" t="s">
        <v>152</v>
      </c>
      <c r="G14" s="76"/>
      <c r="H14" s="141">
        <f t="shared" si="8"/>
        <v>0</v>
      </c>
      <c r="I14" s="142">
        <f t="shared" si="9"/>
        <v>0</v>
      </c>
      <c r="J14" s="55" t="str">
        <f t="shared" si="10"/>
        <v/>
      </c>
      <c r="K14" s="56"/>
      <c r="L14" s="60" t="s">
        <v>155</v>
      </c>
      <c r="M14" s="58"/>
      <c r="N14" s="141">
        <f t="shared" si="11"/>
        <v>0</v>
      </c>
      <c r="O14" s="142">
        <f t="shared" si="12"/>
        <v>0</v>
      </c>
      <c r="P14" s="55" t="str">
        <f t="shared" si="13"/>
        <v/>
      </c>
      <c r="Q14" s="60" t="s">
        <v>152</v>
      </c>
      <c r="R14" s="76"/>
      <c r="S14" s="141">
        <f t="shared" si="14"/>
        <v>0</v>
      </c>
      <c r="T14" s="142">
        <f t="shared" si="15"/>
        <v>0</v>
      </c>
      <c r="U14" s="55" t="str">
        <f t="shared" si="16"/>
        <v/>
      </c>
      <c r="V14" s="56"/>
      <c r="W14" s="60" t="s">
        <v>155</v>
      </c>
      <c r="X14" s="58"/>
      <c r="Y14" s="141"/>
      <c r="Z14" s="142">
        <f t="shared" si="0"/>
        <v>0</v>
      </c>
      <c r="AA14" s="55" t="str">
        <f t="shared" si="1"/>
        <v/>
      </c>
      <c r="AB14" s="60" t="s">
        <v>152</v>
      </c>
      <c r="AC14" s="76"/>
      <c r="AD14" s="141">
        <f t="shared" si="2"/>
        <v>0</v>
      </c>
      <c r="AE14" s="142">
        <f t="shared" si="3"/>
        <v>0</v>
      </c>
      <c r="AF14" s="55" t="str">
        <f t="shared" si="4"/>
        <v/>
      </c>
      <c r="AG14" s="56"/>
    </row>
    <row r="15" spans="1:33" ht="15.9" customHeight="1" thickTop="1" thickBot="1">
      <c r="A15" s="57" t="s">
        <v>155</v>
      </c>
      <c r="B15" s="58"/>
      <c r="C15" s="141">
        <f t="shared" si="5"/>
        <v>0</v>
      </c>
      <c r="D15" s="142">
        <f t="shared" si="6"/>
        <v>0</v>
      </c>
      <c r="E15" s="55" t="str">
        <f t="shared" si="7"/>
        <v/>
      </c>
      <c r="F15" s="57" t="s">
        <v>154</v>
      </c>
      <c r="G15" s="76"/>
      <c r="H15" s="141">
        <f t="shared" si="8"/>
        <v>0</v>
      </c>
      <c r="I15" s="142">
        <f t="shared" si="9"/>
        <v>0</v>
      </c>
      <c r="J15" s="55" t="str">
        <f t="shared" si="10"/>
        <v/>
      </c>
      <c r="K15" s="56"/>
      <c r="L15" s="57" t="s">
        <v>155</v>
      </c>
      <c r="M15" s="58"/>
      <c r="N15" s="141">
        <f t="shared" si="11"/>
        <v>0</v>
      </c>
      <c r="O15" s="142">
        <f t="shared" si="12"/>
        <v>0</v>
      </c>
      <c r="P15" s="55" t="str">
        <f t="shared" si="13"/>
        <v/>
      </c>
      <c r="Q15" s="57" t="s">
        <v>154</v>
      </c>
      <c r="R15" s="76"/>
      <c r="S15" s="141">
        <f t="shared" si="14"/>
        <v>0</v>
      </c>
      <c r="T15" s="142">
        <f t="shared" si="15"/>
        <v>0</v>
      </c>
      <c r="U15" s="55" t="str">
        <f t="shared" si="16"/>
        <v/>
      </c>
      <c r="V15" s="56"/>
      <c r="W15" s="57" t="s">
        <v>155</v>
      </c>
      <c r="X15" s="58"/>
      <c r="Y15" s="141"/>
      <c r="Z15" s="142">
        <f t="shared" si="0"/>
        <v>0</v>
      </c>
      <c r="AA15" s="55" t="str">
        <f t="shared" si="1"/>
        <v/>
      </c>
      <c r="AB15" s="57" t="s">
        <v>154</v>
      </c>
      <c r="AC15" s="76"/>
      <c r="AD15" s="141">
        <f t="shared" si="2"/>
        <v>0</v>
      </c>
      <c r="AE15" s="142">
        <f t="shared" si="3"/>
        <v>0</v>
      </c>
      <c r="AF15" s="55" t="str">
        <f t="shared" si="4"/>
        <v/>
      </c>
      <c r="AG15" s="56"/>
    </row>
    <row r="16" spans="1:33" ht="15.9" customHeight="1" thickTop="1" thickBot="1">
      <c r="A16" s="60" t="s">
        <v>166</v>
      </c>
      <c r="B16" s="58"/>
      <c r="C16" s="141">
        <f t="shared" si="5"/>
        <v>0</v>
      </c>
      <c r="D16" s="142">
        <f t="shared" si="6"/>
        <v>0</v>
      </c>
      <c r="E16" s="55" t="str">
        <f t="shared" si="7"/>
        <v/>
      </c>
      <c r="F16" s="60" t="s">
        <v>166</v>
      </c>
      <c r="G16" s="76"/>
      <c r="H16" s="141">
        <f t="shared" si="8"/>
        <v>0</v>
      </c>
      <c r="I16" s="142">
        <f t="shared" si="9"/>
        <v>0</v>
      </c>
      <c r="J16" s="55" t="str">
        <f t="shared" si="10"/>
        <v/>
      </c>
      <c r="K16" s="56"/>
      <c r="L16" s="60" t="s">
        <v>166</v>
      </c>
      <c r="M16" s="58"/>
      <c r="N16" s="141">
        <f t="shared" si="11"/>
        <v>0</v>
      </c>
      <c r="O16" s="142">
        <f t="shared" si="12"/>
        <v>0</v>
      </c>
      <c r="P16" s="55" t="str">
        <f t="shared" si="13"/>
        <v/>
      </c>
      <c r="Q16" s="60" t="s">
        <v>166</v>
      </c>
      <c r="R16" s="76"/>
      <c r="S16" s="141">
        <f t="shared" si="14"/>
        <v>0</v>
      </c>
      <c r="T16" s="142">
        <f t="shared" si="15"/>
        <v>0</v>
      </c>
      <c r="U16" s="55" t="str">
        <f t="shared" si="16"/>
        <v/>
      </c>
      <c r="V16" s="56"/>
      <c r="W16" s="60" t="s">
        <v>166</v>
      </c>
      <c r="X16" s="58"/>
      <c r="Y16" s="141"/>
      <c r="Z16" s="142">
        <f t="shared" si="0"/>
        <v>0</v>
      </c>
      <c r="AA16" s="55" t="str">
        <f t="shared" si="1"/>
        <v/>
      </c>
      <c r="AB16" s="60" t="s">
        <v>166</v>
      </c>
      <c r="AC16" s="76"/>
      <c r="AD16" s="141">
        <f t="shared" si="2"/>
        <v>0</v>
      </c>
      <c r="AE16" s="142">
        <f t="shared" si="3"/>
        <v>0</v>
      </c>
      <c r="AF16" s="55" t="str">
        <f t="shared" si="4"/>
        <v/>
      </c>
      <c r="AG16" s="56"/>
    </row>
    <row r="17" spans="1:33" ht="15.9" customHeight="1" thickTop="1" thickBot="1">
      <c r="A17" s="57" t="s">
        <v>154</v>
      </c>
      <c r="B17" s="58"/>
      <c r="C17" s="141">
        <f t="shared" si="5"/>
        <v>0</v>
      </c>
      <c r="D17" s="142">
        <f t="shared" si="6"/>
        <v>0</v>
      </c>
      <c r="E17" s="55" t="str">
        <f t="shared" si="7"/>
        <v/>
      </c>
      <c r="F17" s="57" t="s">
        <v>154</v>
      </c>
      <c r="G17" s="76"/>
      <c r="H17" s="141">
        <f t="shared" si="8"/>
        <v>0</v>
      </c>
      <c r="I17" s="142">
        <f t="shared" si="9"/>
        <v>0</v>
      </c>
      <c r="J17" s="55" t="str">
        <f t="shared" si="10"/>
        <v/>
      </c>
      <c r="K17" s="56"/>
      <c r="L17" s="57" t="s">
        <v>154</v>
      </c>
      <c r="M17" s="58"/>
      <c r="N17" s="141">
        <f t="shared" si="11"/>
        <v>0</v>
      </c>
      <c r="O17" s="142">
        <f t="shared" si="12"/>
        <v>0</v>
      </c>
      <c r="P17" s="55" t="str">
        <f t="shared" si="13"/>
        <v/>
      </c>
      <c r="Q17" s="57" t="s">
        <v>154</v>
      </c>
      <c r="R17" s="76"/>
      <c r="S17" s="141">
        <f t="shared" si="14"/>
        <v>0</v>
      </c>
      <c r="T17" s="142">
        <f t="shared" si="15"/>
        <v>0</v>
      </c>
      <c r="U17" s="55" t="str">
        <f t="shared" si="16"/>
        <v/>
      </c>
      <c r="V17" s="56"/>
      <c r="W17" s="57" t="s">
        <v>154</v>
      </c>
      <c r="X17" s="58"/>
      <c r="Y17" s="141"/>
      <c r="Z17" s="142">
        <f t="shared" si="0"/>
        <v>0</v>
      </c>
      <c r="AA17" s="55" t="str">
        <f t="shared" si="1"/>
        <v/>
      </c>
      <c r="AB17" s="57" t="s">
        <v>154</v>
      </c>
      <c r="AC17" s="76"/>
      <c r="AD17" s="141">
        <f t="shared" si="2"/>
        <v>0</v>
      </c>
      <c r="AE17" s="142">
        <f t="shared" si="3"/>
        <v>0</v>
      </c>
      <c r="AF17" s="55" t="str">
        <f t="shared" si="4"/>
        <v/>
      </c>
      <c r="AG17" s="56"/>
    </row>
    <row r="18" spans="1:33" ht="15.9" customHeight="1" thickTop="1" thickBot="1">
      <c r="A18" s="57" t="s">
        <v>154</v>
      </c>
      <c r="B18" s="58"/>
      <c r="C18" s="141">
        <f t="shared" si="5"/>
        <v>0</v>
      </c>
      <c r="D18" s="142">
        <f t="shared" si="6"/>
        <v>0</v>
      </c>
      <c r="E18" s="55" t="str">
        <f t="shared" si="7"/>
        <v/>
      </c>
      <c r="F18" s="57" t="s">
        <v>154</v>
      </c>
      <c r="G18" s="76"/>
      <c r="H18" s="141">
        <f t="shared" si="8"/>
        <v>0</v>
      </c>
      <c r="I18" s="142">
        <f t="shared" si="9"/>
        <v>0</v>
      </c>
      <c r="J18" s="55" t="str">
        <f t="shared" si="10"/>
        <v/>
      </c>
      <c r="K18" s="56"/>
      <c r="L18" s="57" t="s">
        <v>154</v>
      </c>
      <c r="M18" s="58"/>
      <c r="N18" s="141">
        <f t="shared" si="11"/>
        <v>0</v>
      </c>
      <c r="O18" s="142">
        <f t="shared" si="12"/>
        <v>0</v>
      </c>
      <c r="P18" s="55" t="str">
        <f t="shared" si="13"/>
        <v/>
      </c>
      <c r="Q18" s="57" t="s">
        <v>154</v>
      </c>
      <c r="R18" s="76"/>
      <c r="S18" s="141">
        <f t="shared" si="14"/>
        <v>0</v>
      </c>
      <c r="T18" s="142">
        <f t="shared" si="15"/>
        <v>0</v>
      </c>
      <c r="U18" s="55" t="str">
        <f t="shared" si="16"/>
        <v/>
      </c>
      <c r="V18" s="56"/>
      <c r="W18" s="57" t="s">
        <v>154</v>
      </c>
      <c r="X18" s="58"/>
      <c r="Y18" s="141"/>
      <c r="Z18" s="142">
        <f t="shared" si="0"/>
        <v>0</v>
      </c>
      <c r="AA18" s="55" t="str">
        <f t="shared" si="1"/>
        <v/>
      </c>
      <c r="AB18" s="57" t="s">
        <v>154</v>
      </c>
      <c r="AC18" s="76"/>
      <c r="AD18" s="141">
        <f t="shared" si="2"/>
        <v>0</v>
      </c>
      <c r="AE18" s="142">
        <f t="shared" si="3"/>
        <v>0</v>
      </c>
      <c r="AF18" s="55" t="str">
        <f t="shared" si="4"/>
        <v/>
      </c>
      <c r="AG18" s="56"/>
    </row>
    <row r="19" spans="1:33" ht="15.9" customHeight="1" thickTop="1" thickBot="1">
      <c r="A19" s="57" t="s">
        <v>154</v>
      </c>
      <c r="B19" s="58"/>
      <c r="C19" s="141">
        <f t="shared" si="5"/>
        <v>0</v>
      </c>
      <c r="D19" s="142">
        <f t="shared" si="6"/>
        <v>0</v>
      </c>
      <c r="E19" s="55" t="str">
        <f t="shared" si="7"/>
        <v/>
      </c>
      <c r="F19" s="57" t="s">
        <v>154</v>
      </c>
      <c r="G19" s="76"/>
      <c r="H19" s="141">
        <f t="shared" si="8"/>
        <v>0</v>
      </c>
      <c r="I19" s="142">
        <f t="shared" si="9"/>
        <v>0</v>
      </c>
      <c r="J19" s="55" t="str">
        <f t="shared" si="10"/>
        <v/>
      </c>
      <c r="K19" s="56"/>
      <c r="L19" s="57" t="s">
        <v>154</v>
      </c>
      <c r="M19" s="58"/>
      <c r="N19" s="141">
        <f t="shared" si="11"/>
        <v>0</v>
      </c>
      <c r="O19" s="142">
        <f t="shared" si="12"/>
        <v>0</v>
      </c>
      <c r="P19" s="55" t="str">
        <f t="shared" si="13"/>
        <v/>
      </c>
      <c r="Q19" s="57" t="s">
        <v>154</v>
      </c>
      <c r="R19" s="76"/>
      <c r="S19" s="141">
        <f t="shared" si="14"/>
        <v>0</v>
      </c>
      <c r="T19" s="142">
        <f t="shared" si="15"/>
        <v>0</v>
      </c>
      <c r="U19" s="55" t="str">
        <f t="shared" si="16"/>
        <v/>
      </c>
      <c r="V19" s="56"/>
      <c r="W19" s="57" t="s">
        <v>154</v>
      </c>
      <c r="X19" s="58"/>
      <c r="Y19" s="141">
        <f>X19*8</f>
        <v>0</v>
      </c>
      <c r="Z19" s="142">
        <f t="shared" si="0"/>
        <v>0</v>
      </c>
      <c r="AA19" s="55" t="str">
        <f t="shared" si="1"/>
        <v/>
      </c>
      <c r="AB19" s="57" t="s">
        <v>154</v>
      </c>
      <c r="AC19" s="76"/>
      <c r="AD19" s="141">
        <f t="shared" si="2"/>
        <v>0</v>
      </c>
      <c r="AE19" s="142">
        <f t="shared" si="3"/>
        <v>0</v>
      </c>
      <c r="AF19" s="55" t="str">
        <f t="shared" si="4"/>
        <v/>
      </c>
      <c r="AG19" s="56"/>
    </row>
    <row r="20" spans="1:33" ht="15.9" customHeight="1" thickTop="1" thickBot="1">
      <c r="A20" s="61" t="s">
        <v>160</v>
      </c>
      <c r="B20" s="62">
        <f>SUM(B4:B19)</f>
        <v>0</v>
      </c>
      <c r="C20" s="63">
        <f>SUM(C4:C19)</f>
        <v>0</v>
      </c>
      <c r="D20" s="64">
        <f>SUM(D4:D19)</f>
        <v>0</v>
      </c>
      <c r="E20" s="64">
        <f>SUM(E4:E19)</f>
        <v>0</v>
      </c>
      <c r="F20" s="61" t="s">
        <v>160</v>
      </c>
      <c r="G20" s="65">
        <f>SUM(G4:G19)</f>
        <v>0</v>
      </c>
      <c r="H20" s="63">
        <f>SUM(H4:H19)</f>
        <v>0</v>
      </c>
      <c r="I20" s="64">
        <f>SUM(I4:I19)</f>
        <v>0</v>
      </c>
      <c r="J20" s="64">
        <f>SUM(J4:J19)</f>
        <v>0</v>
      </c>
      <c r="K20" s="66"/>
      <c r="L20" s="61" t="s">
        <v>160</v>
      </c>
      <c r="M20" s="62">
        <f>SUM(M4:M19)</f>
        <v>0</v>
      </c>
      <c r="N20" s="63">
        <f>SUM(N4:N19)</f>
        <v>0</v>
      </c>
      <c r="O20" s="64">
        <f>SUM(O4:O19)</f>
        <v>0</v>
      </c>
      <c r="P20" s="64">
        <f>SUM(P4:P19)</f>
        <v>0</v>
      </c>
      <c r="Q20" s="61" t="s">
        <v>160</v>
      </c>
      <c r="R20" s="65">
        <f>SUM(R4:R19)</f>
        <v>0</v>
      </c>
      <c r="S20" s="63">
        <f>SUM(S4:S19)</f>
        <v>0</v>
      </c>
      <c r="T20" s="64">
        <f>SUM(T4:T19)</f>
        <v>0</v>
      </c>
      <c r="U20" s="64">
        <f>SUM(U4:U19)</f>
        <v>0</v>
      </c>
      <c r="V20" s="66"/>
      <c r="W20" s="61" t="s">
        <v>160</v>
      </c>
      <c r="X20" s="62">
        <f>SUM(X4:X19)</f>
        <v>0</v>
      </c>
      <c r="Y20" s="63">
        <f>SUM(Y4:Y19)</f>
        <v>0</v>
      </c>
      <c r="Z20" s="64">
        <f>SUM(Z4:Z19)</f>
        <v>0</v>
      </c>
      <c r="AA20" s="64">
        <f>SUM(AA4:AA19)</f>
        <v>0</v>
      </c>
      <c r="AB20" s="61" t="s">
        <v>160</v>
      </c>
      <c r="AC20" s="203">
        <f>SUM(AC4:AC19)</f>
        <v>0</v>
      </c>
      <c r="AD20" s="63">
        <f>SUM(AD4:AD19)</f>
        <v>0</v>
      </c>
      <c r="AE20" s="64">
        <f>SUM(AE4:AE19)</f>
        <v>0</v>
      </c>
      <c r="AF20" s="64">
        <f>SUM(AF4:AF19)</f>
        <v>0</v>
      </c>
      <c r="AG20" s="66"/>
    </row>
    <row r="21" spans="1:33" ht="36.75" customHeight="1" thickTop="1" thickBot="1">
      <c r="A21" s="109" t="s">
        <v>198</v>
      </c>
      <c r="B21" s="143" t="s">
        <v>199</v>
      </c>
      <c r="C21" s="110" t="s">
        <v>268</v>
      </c>
      <c r="D21" s="110"/>
      <c r="E21" s="119"/>
      <c r="F21" s="199" t="s">
        <v>237</v>
      </c>
      <c r="G21" s="199" t="s">
        <v>200</v>
      </c>
      <c r="H21" s="110" t="s">
        <v>201</v>
      </c>
      <c r="I21" s="110"/>
      <c r="J21" s="120" t="s">
        <v>282</v>
      </c>
      <c r="K21" s="115" t="s">
        <v>207</v>
      </c>
      <c r="L21" s="201" t="s">
        <v>202</v>
      </c>
      <c r="M21" s="143" t="s">
        <v>203</v>
      </c>
      <c r="N21" s="110" t="s">
        <v>267</v>
      </c>
      <c r="O21" s="110"/>
      <c r="P21" s="119"/>
      <c r="Q21" s="199" t="s">
        <v>224</v>
      </c>
      <c r="R21" s="199" t="s">
        <v>214</v>
      </c>
      <c r="S21" s="110" t="s">
        <v>225</v>
      </c>
      <c r="T21" s="115"/>
      <c r="U21" s="115" t="s">
        <v>281</v>
      </c>
      <c r="V21" s="115" t="s">
        <v>208</v>
      </c>
      <c r="W21" s="201" t="s">
        <v>202</v>
      </c>
      <c r="X21" s="143" t="s">
        <v>203</v>
      </c>
      <c r="Y21" s="110" t="s">
        <v>267</v>
      </c>
      <c r="Z21" s="110"/>
      <c r="AA21" s="119"/>
      <c r="AB21" s="199" t="s">
        <v>315</v>
      </c>
      <c r="AC21" s="134" t="s">
        <v>314</v>
      </c>
      <c r="AD21" s="110" t="s">
        <v>342</v>
      </c>
      <c r="AE21" s="115" t="s">
        <v>313</v>
      </c>
      <c r="AF21" s="115" t="s">
        <v>312</v>
      </c>
      <c r="AG21" s="232"/>
    </row>
    <row r="22" spans="1:33" ht="15.9" customHeight="1" thickTop="1" thickBot="1">
      <c r="A22" s="67">
        <f>B20/4.8</f>
        <v>0</v>
      </c>
      <c r="B22" s="58">
        <f>(ROUNDUP(A22,0))</f>
        <v>0</v>
      </c>
      <c r="C22" s="123">
        <f>C20+H20</f>
        <v>0</v>
      </c>
      <c r="D22" s="124"/>
      <c r="E22" s="125"/>
      <c r="F22" s="200">
        <f>G20/3.75</f>
        <v>0</v>
      </c>
      <c r="G22" s="200">
        <f>(ROUNDUP(F22,0))</f>
        <v>0</v>
      </c>
      <c r="H22" s="67">
        <f>B20+G20</f>
        <v>0</v>
      </c>
      <c r="I22" s="126"/>
      <c r="J22" s="107">
        <f>E20+J20</f>
        <v>0</v>
      </c>
      <c r="K22" s="122">
        <f>IF(OR(E20&gt;0,J20&gt;0),1,0)</f>
        <v>0</v>
      </c>
      <c r="L22" s="202">
        <f>M20/4.8</f>
        <v>0</v>
      </c>
      <c r="M22" s="58">
        <f>(ROUNDUP(L22,0))</f>
        <v>0</v>
      </c>
      <c r="N22" s="127">
        <f>N20+S20</f>
        <v>0</v>
      </c>
      <c r="O22" s="124"/>
      <c r="P22" s="125"/>
      <c r="Q22" s="200">
        <f>R20/3.75</f>
        <v>0</v>
      </c>
      <c r="R22" s="200">
        <f>(ROUNDUP(Q22,0))</f>
        <v>0</v>
      </c>
      <c r="S22" s="67">
        <f>M20+R20</f>
        <v>0</v>
      </c>
      <c r="T22" s="107"/>
      <c r="U22" s="107">
        <f>P20+U20</f>
        <v>0</v>
      </c>
      <c r="V22" s="107">
        <f>IF(OR(P20&gt;0,U20&gt;0),1,0)</f>
        <v>0</v>
      </c>
      <c r="W22" s="202">
        <f>X20/4.8</f>
        <v>0</v>
      </c>
      <c r="X22" s="58">
        <f>(ROUNDUP(W22,0))</f>
        <v>0</v>
      </c>
      <c r="Y22" s="127">
        <f>Y20+AD20</f>
        <v>0</v>
      </c>
      <c r="Z22" s="124"/>
      <c r="AA22" s="125"/>
      <c r="AB22" s="200">
        <f>AC20/3.75</f>
        <v>0</v>
      </c>
      <c r="AC22" s="76">
        <f>(ROUNDUP(AB22,0))</f>
        <v>0</v>
      </c>
      <c r="AD22" s="67">
        <f>X20+AC20</f>
        <v>0</v>
      </c>
      <c r="AE22" s="107">
        <f>IF(OR(AA20&gt;0,AF20&gt;0),1,0)</f>
        <v>0</v>
      </c>
      <c r="AF22" s="107">
        <f>AA20+AF20</f>
        <v>0</v>
      </c>
      <c r="AG22" s="233"/>
    </row>
    <row r="23" spans="1:33" ht="52.2" thickTop="1" thickBot="1">
      <c r="A23" s="209" t="s">
        <v>318</v>
      </c>
      <c r="B23" s="204" t="s">
        <v>317</v>
      </c>
      <c r="C23" s="115" t="s">
        <v>347</v>
      </c>
      <c r="D23" s="114" t="s">
        <v>212</v>
      </c>
      <c r="E23" s="131" t="s">
        <v>320</v>
      </c>
      <c r="F23" s="197" t="s">
        <v>321</v>
      </c>
      <c r="G23" s="115" t="s">
        <v>322</v>
      </c>
      <c r="H23" s="115" t="s">
        <v>210</v>
      </c>
      <c r="I23" s="116" t="s">
        <v>323</v>
      </c>
      <c r="J23" s="113" t="s">
        <v>205</v>
      </c>
      <c r="K23" s="115"/>
      <c r="L23" s="116" t="s">
        <v>319</v>
      </c>
      <c r="M23" s="167" t="s">
        <v>230</v>
      </c>
      <c r="N23" s="121"/>
      <c r="O23" s="118"/>
      <c r="P23" s="118"/>
      <c r="Q23" s="197" t="s">
        <v>193</v>
      </c>
      <c r="R23" s="116"/>
      <c r="S23" s="115" t="s">
        <v>211</v>
      </c>
      <c r="T23" s="115" t="s">
        <v>229</v>
      </c>
      <c r="U23" s="113" t="s">
        <v>194</v>
      </c>
      <c r="V23" s="116"/>
      <c r="W23" s="116" t="s">
        <v>283</v>
      </c>
      <c r="X23" s="167" t="s">
        <v>230</v>
      </c>
      <c r="Y23" s="121"/>
      <c r="Z23" s="118"/>
      <c r="AA23" s="118"/>
      <c r="AB23" s="197" t="s">
        <v>316</v>
      </c>
      <c r="AC23" s="116"/>
      <c r="AD23" s="115" t="s">
        <v>346</v>
      </c>
      <c r="AE23" s="115" t="s">
        <v>348</v>
      </c>
      <c r="AF23" s="113" t="s">
        <v>194</v>
      </c>
      <c r="AG23" s="232"/>
    </row>
    <row r="24" spans="1:33" ht="17.25" customHeight="1" thickTop="1" thickBot="1">
      <c r="A24" s="208">
        <f>B20+M20+X20</f>
        <v>0</v>
      </c>
      <c r="B24" s="208">
        <f>G20+R20+AC20</f>
        <v>0</v>
      </c>
      <c r="C24" s="133">
        <f>(ROUNDUP((C20+N20+Y20+H20+S20+AD20)/100,0)*100)</f>
        <v>0</v>
      </c>
      <c r="D24" s="129">
        <f>(ROUNDUP(8.3*H$22/100,0)*100)</f>
        <v>0</v>
      </c>
      <c r="E24" s="132">
        <f>ROUNDUP(A24/4.8,0)</f>
        <v>0</v>
      </c>
      <c r="F24" s="198">
        <f>ROUNDUP(B24/3.75,0)</f>
        <v>0</v>
      </c>
      <c r="G24" s="107">
        <f>(ROUNDUP(B24*1.2/25,0))</f>
        <v>0</v>
      </c>
      <c r="H24" s="107">
        <f>IF(E20&gt;0,D20,0) + IF(J20&gt;0,I20,0)</f>
        <v>0</v>
      </c>
      <c r="I24" s="139">
        <f>J24+U24+AF24</f>
        <v>0</v>
      </c>
      <c r="J24" s="140">
        <f>D20+I20</f>
        <v>0</v>
      </c>
      <c r="K24" s="107"/>
      <c r="L24" s="208">
        <f>A24+B24</f>
        <v>0</v>
      </c>
      <c r="M24" s="107">
        <f>ROUNDUP(B24/110,0)</f>
        <v>0</v>
      </c>
      <c r="N24" s="25"/>
      <c r="O24" s="129"/>
      <c r="P24" s="130"/>
      <c r="Q24" s="198">
        <f>R22</f>
        <v>0</v>
      </c>
      <c r="R24" s="106"/>
      <c r="S24" s="107">
        <f>IF(P20&gt;0,O20,0) + IF(U20&gt;0,T20,0)</f>
        <v>0</v>
      </c>
      <c r="T24" s="107">
        <f>P20+U20</f>
        <v>0</v>
      </c>
      <c r="U24" s="140">
        <f>O20+T20</f>
        <v>0</v>
      </c>
      <c r="V24" s="129"/>
      <c r="W24" s="128">
        <f>L24+M24</f>
        <v>0</v>
      </c>
      <c r="X24" s="107">
        <f>ROUNDUP(M24/110,0)</f>
        <v>0</v>
      </c>
      <c r="Y24" s="25"/>
      <c r="Z24" s="129"/>
      <c r="AA24" s="130"/>
      <c r="AB24" s="198">
        <f>AC22</f>
        <v>0</v>
      </c>
      <c r="AC24" s="106"/>
      <c r="AD24" s="107">
        <f>IF(AA20&gt;0,Z20,0) + IF(AF20&gt;0,AE20,0)</f>
        <v>0</v>
      </c>
      <c r="AE24" s="107">
        <f>AA20+AF20</f>
        <v>0</v>
      </c>
      <c r="AF24" s="140">
        <f>Z20+AE20</f>
        <v>0</v>
      </c>
      <c r="AG24" s="233"/>
    </row>
    <row r="25" spans="1:33" ht="15" thickTop="1">
      <c r="C25" s="5"/>
    </row>
    <row r="26" spans="1:33" ht="33.75" customHeight="1">
      <c r="E26" t="s">
        <v>184</v>
      </c>
    </row>
    <row r="27" spans="1:33">
      <c r="W27" s="46"/>
      <c r="X27" s="536"/>
      <c r="Y27" s="536"/>
      <c r="Z27" s="536"/>
      <c r="AA27" s="536"/>
      <c r="AB27" s="536"/>
    </row>
    <row r="28" spans="1:33" ht="33.75" customHeight="1">
      <c r="W28" s="192"/>
      <c r="X28" s="46"/>
      <c r="Y28" s="46"/>
      <c r="Z28" s="46"/>
      <c r="AA28" s="46"/>
      <c r="AB28" s="46"/>
    </row>
    <row r="29" spans="1:33">
      <c r="W29" s="46"/>
      <c r="X29" s="46"/>
      <c r="Y29" s="46"/>
      <c r="Z29" s="46"/>
      <c r="AA29" s="46"/>
      <c r="AB29" s="46"/>
    </row>
    <row r="30" spans="1:33">
      <c r="W30" s="46"/>
      <c r="X30" s="46"/>
      <c r="Y30" s="46"/>
      <c r="Z30" s="46"/>
      <c r="AA30" s="46"/>
      <c r="AB30" s="46"/>
    </row>
    <row r="189" spans="12:12">
      <c r="L189" t="s">
        <v>171</v>
      </c>
    </row>
  </sheetData>
  <mergeCells count="10">
    <mergeCell ref="X27:AB27"/>
    <mergeCell ref="A1:J1"/>
    <mergeCell ref="L1:U1"/>
    <mergeCell ref="A2:E2"/>
    <mergeCell ref="F2:J2"/>
    <mergeCell ref="L2:P2"/>
    <mergeCell ref="Q2:U2"/>
    <mergeCell ref="W1:AF1"/>
    <mergeCell ref="W2:AA2"/>
    <mergeCell ref="AB2:AF2"/>
  </mergeCells>
  <conditionalFormatting sqref="J24">
    <cfRule type="cellIs" dxfId="20" priority="3" operator="greaterThan">
      <formula>15</formula>
    </cfRule>
    <cfRule type="cellIs" priority="4" operator="greaterThan">
      <formula>15</formula>
    </cfRule>
  </conditionalFormatting>
  <conditionalFormatting sqref="U24">
    <cfRule type="cellIs" dxfId="19" priority="2" operator="greaterThan">
      <formula>15</formula>
    </cfRule>
  </conditionalFormatting>
  <conditionalFormatting sqref="AF24">
    <cfRule type="cellIs" dxfId="18" priority="1" operator="greaterThan">
      <formula>15</formula>
    </cfRule>
  </conditionalFormatting>
  <pageMargins left="0.70866141732283505" right="0.23622047244094499" top="1.14173228346457" bottom="1.1599999999999999" header="0.196850393700787" footer="0.15748031496063"/>
  <pageSetup paperSize="9" scale="83" orientation="portrait" r:id="rId1"/>
  <headerFooter scaleWithDoc="0" alignWithMargins="0">
    <oddHeader>&amp;L&amp;G&amp;R&amp;G</oddHeader>
    <oddFooter xml:space="preserve">&amp;L
RO33404978
J40/8589/2014
RO56INGB0000999915150915
ING BANK NV&amp;CStr. Învingătorilor nr. 27, Sector 3, București
Tel :  (+4) 0314.361.836
Mobil:  (+4) 0724.204.888
             (+4) 0766.367.287&amp;REmail: 
comercial@magnumheating.ro
</oddFooter>
  </headerFooter>
  <colBreaks count="1" manualBreakCount="1">
    <brk id="3" max="1048575" man="1"/>
  </col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5BC5E4-31DC-4175-B6E9-B35D3A125F84}">
  <sheetPr>
    <tabColor rgb="FF66FF33"/>
  </sheetPr>
  <dimension ref="A1:Z185"/>
  <sheetViews>
    <sheetView zoomScaleNormal="100" zoomScaleSheetLayoutView="100" workbookViewId="0">
      <selection activeCell="E126" sqref="E126"/>
    </sheetView>
  </sheetViews>
  <sheetFormatPr defaultRowHeight="14.4"/>
  <cols>
    <col min="1" max="1" width="4.6640625" customWidth="1"/>
    <col min="2" max="2" width="13.21875" customWidth="1"/>
    <col min="3" max="3" width="56.88671875" customWidth="1"/>
    <col min="4" max="4" width="5.88671875" customWidth="1"/>
    <col min="5" max="5" width="6.44140625" customWidth="1"/>
    <col min="6" max="6" width="10.77734375" customWidth="1"/>
    <col min="7" max="7" width="14.21875" customWidth="1"/>
    <col min="8" max="8" width="9" style="244" customWidth="1"/>
    <col min="9" max="9" width="8.77734375" customWidth="1"/>
    <col min="10" max="10" width="14" customWidth="1"/>
    <col min="15" max="15" width="10.5546875" customWidth="1"/>
    <col min="16" max="16" width="13.5546875" customWidth="1"/>
    <col min="17" max="17" width="16.21875" customWidth="1"/>
    <col min="18" max="18" width="8.5546875" customWidth="1"/>
    <col min="20" max="20" width="7.21875" customWidth="1"/>
    <col min="21" max="21" width="11.44140625" customWidth="1"/>
    <col min="22" max="22" width="13.5546875" customWidth="1"/>
    <col min="23" max="23" width="15.5546875" customWidth="1"/>
    <col min="24" max="24" width="14.21875" customWidth="1"/>
    <col min="25" max="25" width="14.77734375" customWidth="1"/>
  </cols>
  <sheetData>
    <row r="1" spans="1:17">
      <c r="A1" s="529" t="s">
        <v>597</v>
      </c>
      <c r="B1" s="530"/>
      <c r="C1" s="530"/>
    </row>
    <row r="2" spans="1:17">
      <c r="A2" s="529" t="s">
        <v>431</v>
      </c>
      <c r="B2" s="530"/>
      <c r="C2" s="530"/>
    </row>
    <row r="3" spans="1:17">
      <c r="A3" s="529" t="s">
        <v>172</v>
      </c>
      <c r="B3" s="530"/>
      <c r="C3" s="530"/>
    </row>
    <row r="4" spans="1:17" ht="6" customHeight="1"/>
    <row r="5" spans="1:17" ht="13.95" customHeight="1">
      <c r="A5" s="545" t="s">
        <v>0</v>
      </c>
      <c r="B5" s="545"/>
      <c r="C5" s="545"/>
      <c r="D5" s="545"/>
      <c r="E5" s="545"/>
      <c r="F5" s="545"/>
      <c r="G5" s="545"/>
      <c r="H5" s="246"/>
      <c r="I5" s="4"/>
      <c r="J5" s="5"/>
      <c r="K5" s="5"/>
      <c r="L5" s="5"/>
      <c r="M5" s="5"/>
      <c r="N5" s="5"/>
      <c r="O5" s="5"/>
      <c r="P5" s="5"/>
      <c r="Q5" s="5"/>
    </row>
    <row r="6" spans="1:17" ht="18" customHeight="1" thickBot="1">
      <c r="A6" s="524" t="s">
        <v>215</v>
      </c>
      <c r="B6" s="524"/>
      <c r="C6" s="524"/>
      <c r="D6" s="524"/>
      <c r="E6" s="524"/>
      <c r="F6" s="524"/>
      <c r="G6" s="524"/>
      <c r="H6" s="246"/>
      <c r="I6" s="4"/>
      <c r="J6" s="5"/>
      <c r="K6" s="5"/>
      <c r="L6" s="5"/>
      <c r="M6" s="5"/>
      <c r="N6" s="5"/>
      <c r="O6" s="5"/>
      <c r="P6" s="5"/>
      <c r="Q6" s="5"/>
    </row>
    <row r="7" spans="1:17" ht="25.95" customHeight="1" thickTop="1" thickBot="1">
      <c r="A7" s="524" t="s">
        <v>432</v>
      </c>
      <c r="B7" s="528"/>
      <c r="C7" s="528"/>
      <c r="D7" s="371">
        <f>'CalculSpeeTile10+SpeeTherm15-30'!G20+'CalculSpeeTile10+SpeeTherm15-30'!R20+'CalculSpeeTile10+SpeeTherm15-30'!AC20</f>
        <v>0</v>
      </c>
      <c r="E7" s="372" t="s">
        <v>92</v>
      </c>
      <c r="F7" s="4"/>
      <c r="G7" s="4"/>
      <c r="H7" s="246"/>
      <c r="I7" s="4"/>
      <c r="J7" s="5"/>
      <c r="K7" s="5"/>
      <c r="L7" s="5"/>
      <c r="M7" s="5"/>
      <c r="N7" s="5"/>
      <c r="O7" s="5"/>
      <c r="P7" s="5"/>
      <c r="Q7" s="5"/>
    </row>
    <row r="8" spans="1:17" ht="18" customHeight="1" thickTop="1">
      <c r="A8" s="4"/>
      <c r="B8" s="4"/>
      <c r="C8" s="4"/>
      <c r="D8" s="4"/>
      <c r="E8" s="4"/>
      <c r="F8" s="4"/>
      <c r="G8" s="4"/>
      <c r="H8" s="246"/>
      <c r="I8" s="4"/>
      <c r="J8" s="5"/>
      <c r="K8" s="5"/>
      <c r="L8" s="5"/>
      <c r="M8" s="5"/>
      <c r="N8" s="5"/>
      <c r="O8" s="5"/>
      <c r="P8" s="5"/>
      <c r="Q8" s="5"/>
    </row>
    <row r="9" spans="1:17" ht="25.95" customHeight="1">
      <c r="A9" s="4"/>
      <c r="B9" s="4"/>
      <c r="C9" s="4"/>
      <c r="D9" s="4"/>
      <c r="E9" s="4"/>
      <c r="F9" s="4"/>
      <c r="G9" s="4"/>
      <c r="H9" s="246"/>
      <c r="I9" s="4"/>
      <c r="J9" s="5"/>
      <c r="K9" s="5"/>
      <c r="L9" s="5"/>
      <c r="M9" s="5"/>
      <c r="N9" s="5"/>
      <c r="O9" s="5"/>
      <c r="P9" s="5"/>
      <c r="Q9" s="5"/>
    </row>
    <row r="10" spans="1:17">
      <c r="A10" s="4"/>
      <c r="B10" s="4"/>
      <c r="C10" s="4"/>
      <c r="D10" s="4"/>
      <c r="E10" s="4"/>
      <c r="F10" s="4"/>
      <c r="G10" s="4"/>
      <c r="H10" s="246"/>
      <c r="I10" s="4"/>
      <c r="J10" s="5"/>
      <c r="K10" s="5"/>
      <c r="L10" s="5"/>
      <c r="M10" s="5"/>
      <c r="N10" s="5"/>
      <c r="O10" s="5"/>
      <c r="P10" s="5"/>
      <c r="Q10" s="5"/>
    </row>
    <row r="11" spans="1:17" ht="32.25" customHeight="1">
      <c r="A11" s="4"/>
      <c r="B11" s="4"/>
      <c r="C11" s="4"/>
      <c r="D11" s="4"/>
      <c r="E11" s="4"/>
      <c r="F11" s="4"/>
      <c r="G11" s="4"/>
      <c r="H11" s="246"/>
      <c r="I11" s="4"/>
      <c r="J11" s="5"/>
      <c r="K11" s="5"/>
      <c r="L11" s="5"/>
      <c r="M11" s="5"/>
      <c r="N11" s="5"/>
      <c r="O11" s="5"/>
      <c r="P11" s="5"/>
      <c r="Q11" s="5"/>
    </row>
    <row r="12" spans="1:17" ht="32.25" customHeight="1">
      <c r="A12" s="4"/>
      <c r="B12" s="4"/>
      <c r="C12" s="4"/>
      <c r="D12" s="4"/>
      <c r="E12" s="4"/>
      <c r="F12" s="4"/>
      <c r="G12" s="4"/>
      <c r="H12" s="246"/>
      <c r="I12" s="4"/>
      <c r="J12" s="5"/>
      <c r="K12" s="5"/>
      <c r="L12" s="5"/>
      <c r="M12" s="5"/>
      <c r="N12" s="5"/>
      <c r="O12" s="5"/>
      <c r="P12" s="5"/>
      <c r="Q12" s="5"/>
    </row>
    <row r="13" spans="1:17" ht="21.6" thickBot="1">
      <c r="A13" s="520" t="s">
        <v>140</v>
      </c>
      <c r="B13" s="521"/>
      <c r="C13" s="521"/>
      <c r="D13" s="521"/>
      <c r="E13" s="521"/>
      <c r="F13" s="521"/>
      <c r="G13" s="521"/>
      <c r="H13" s="247"/>
      <c r="I13" s="5"/>
      <c r="J13" s="5"/>
      <c r="K13" s="5"/>
      <c r="L13" s="5"/>
      <c r="M13" s="5"/>
      <c r="N13" s="5"/>
      <c r="O13" s="5"/>
      <c r="P13" s="5"/>
      <c r="Q13" s="5"/>
    </row>
    <row r="14" spans="1:17" ht="18.75" customHeight="1" thickTop="1">
      <c r="A14" s="6" t="s">
        <v>433</v>
      </c>
      <c r="B14" s="518" t="s">
        <v>3</v>
      </c>
      <c r="C14" s="518" t="s">
        <v>4</v>
      </c>
      <c r="D14" s="518" t="s">
        <v>5</v>
      </c>
      <c r="E14" s="518" t="s">
        <v>6</v>
      </c>
      <c r="F14" s="7" t="s">
        <v>7</v>
      </c>
      <c r="G14" s="8" t="s">
        <v>9</v>
      </c>
      <c r="H14" s="247"/>
      <c r="I14" s="5"/>
      <c r="J14" s="5"/>
      <c r="K14" s="5"/>
      <c r="L14" s="5"/>
      <c r="M14" s="5"/>
      <c r="N14" s="5"/>
      <c r="O14" s="5"/>
      <c r="P14" s="5"/>
      <c r="Q14" s="5"/>
    </row>
    <row r="15" spans="1:17" ht="26.25" customHeight="1" thickBot="1">
      <c r="A15" s="17" t="s">
        <v>2</v>
      </c>
      <c r="B15" s="527"/>
      <c r="C15" s="527"/>
      <c r="D15" s="527"/>
      <c r="E15" s="527"/>
      <c r="F15" s="18" t="s">
        <v>8</v>
      </c>
      <c r="G15" s="19" t="s">
        <v>8</v>
      </c>
      <c r="H15" s="247"/>
      <c r="I15" s="5"/>
      <c r="J15" s="5"/>
      <c r="K15" s="5"/>
      <c r="L15" s="5"/>
      <c r="M15" s="5"/>
      <c r="N15" s="5"/>
      <c r="O15" s="5"/>
      <c r="P15" s="5"/>
      <c r="Q15" s="5"/>
    </row>
    <row r="16" spans="1:17" ht="18" customHeight="1" thickTop="1" thickBot="1">
      <c r="A16" s="587" t="s">
        <v>591</v>
      </c>
      <c r="B16" s="588"/>
      <c r="C16" s="588"/>
      <c r="D16" s="373"/>
      <c r="E16" s="374"/>
      <c r="F16" s="375"/>
      <c r="G16" s="376"/>
      <c r="H16" s="248">
        <f>SUM(H17:H18)</f>
        <v>0</v>
      </c>
      <c r="I16" s="341"/>
      <c r="J16" s="5"/>
      <c r="K16" s="5"/>
      <c r="L16" s="5"/>
      <c r="M16" s="5"/>
      <c r="N16" s="5"/>
      <c r="O16" s="5"/>
      <c r="P16" s="5"/>
      <c r="Q16" s="5"/>
    </row>
    <row r="17" spans="1:17" ht="18" customHeight="1" thickTop="1" thickBot="1">
      <c r="A17" s="27"/>
      <c r="B17" s="20" t="s">
        <v>61</v>
      </c>
      <c r="C17" s="13" t="s">
        <v>63</v>
      </c>
      <c r="D17" s="327" t="s">
        <v>11</v>
      </c>
      <c r="E17" s="327">
        <f>INT('CalculSpeeTile10+SpeeTherm15-30'!C24-E18*240)/80</f>
        <v>0</v>
      </c>
      <c r="F17" s="513">
        <v>39</v>
      </c>
      <c r="G17" s="329">
        <f>E17*F17</f>
        <v>0</v>
      </c>
      <c r="H17" s="330">
        <f>E17</f>
        <v>0</v>
      </c>
      <c r="I17" s="353"/>
      <c r="J17" s="5"/>
      <c r="K17" s="5"/>
      <c r="L17" s="5"/>
      <c r="M17" s="5"/>
      <c r="N17" s="5"/>
      <c r="O17" s="5"/>
      <c r="P17" s="5"/>
      <c r="Q17" s="5"/>
    </row>
    <row r="18" spans="1:17" ht="18" customHeight="1" thickBot="1">
      <c r="A18" s="27"/>
      <c r="B18" s="20" t="s">
        <v>62</v>
      </c>
      <c r="C18" s="13" t="s">
        <v>75</v>
      </c>
      <c r="D18" s="327" t="s">
        <v>11</v>
      </c>
      <c r="E18" s="347">
        <f>INT('CalculSpeeTile10+SpeeTherm15-30'!C24/240)</f>
        <v>0</v>
      </c>
      <c r="F18" s="513">
        <v>116</v>
      </c>
      <c r="G18" s="350">
        <f t="shared" ref="G18" si="0">E18*F18</f>
        <v>0</v>
      </c>
      <c r="H18" s="330">
        <f t="shared" ref="H18" si="1">E18</f>
        <v>0</v>
      </c>
      <c r="I18" s="353"/>
      <c r="J18" s="46"/>
      <c r="K18" s="536"/>
      <c r="L18" s="536"/>
      <c r="M18" s="536"/>
      <c r="N18" s="536"/>
      <c r="O18" s="536"/>
      <c r="P18" s="5"/>
      <c r="Q18" s="5"/>
    </row>
    <row r="19" spans="1:17" ht="18" customHeight="1" thickTop="1" thickBot="1">
      <c r="A19" s="585" t="s">
        <v>440</v>
      </c>
      <c r="B19" s="586"/>
      <c r="C19" s="586"/>
      <c r="D19" s="381"/>
      <c r="E19" s="381"/>
      <c r="F19" s="381"/>
      <c r="G19" s="382"/>
      <c r="H19" s="248">
        <f>SUM(H20:H34)</f>
        <v>0</v>
      </c>
      <c r="I19" s="341"/>
      <c r="J19" s="192"/>
      <c r="K19" s="46"/>
      <c r="L19" s="46"/>
      <c r="M19" s="46"/>
      <c r="N19" s="46"/>
      <c r="O19" s="46"/>
      <c r="P19" s="5"/>
      <c r="Q19" s="5"/>
    </row>
    <row r="20" spans="1:17" ht="18" customHeight="1" thickTop="1" thickBot="1">
      <c r="A20" s="326"/>
      <c r="B20" s="327" t="s">
        <v>35</v>
      </c>
      <c r="C20" s="328" t="s">
        <v>441</v>
      </c>
      <c r="D20" s="327" t="s">
        <v>11</v>
      </c>
      <c r="E20" s="314">
        <f>IF(AND('CalculSpeeTile10+SpeeTherm15-30'!$K$24=2, 'CalculSpeeTile10+SpeeTherm15-30'!$V$24=2, 'CalculSpeeTile10+SpeeTherm15-30'!$AG$24=2), 3,
IF(OR(AND('CalculSpeeTile10+SpeeTherm15-30'!$K$24=2, 'CalculSpeeTile10+SpeeTherm15-30'!$V$24=2),
      AND('CalculSpeeTile10+SpeeTherm15-30'!$K$24=2, 'CalculSpeeTile10+SpeeTherm15-30'!$AG$24=2),
      AND('CalculSpeeTile10+SpeeTherm15-30'!$V$24=2, 'CalculSpeeTile10+SpeeTherm15-30'!$AG$24=2)), 2,
IF(OR('CalculSpeeTile10+SpeeTherm15-30'!$K$24=2, 'CalculSpeeTile10+SpeeTherm15-30'!$V$24=2, 'CalculSpeeTile10+SpeeTherm15-30'!$AG$24=2), 1, 0)))</f>
        <v>0</v>
      </c>
      <c r="F20" s="378">
        <v>104</v>
      </c>
      <c r="G20" s="329">
        <f t="shared" ref="G20:G34" si="2">E20*F20</f>
        <v>0</v>
      </c>
      <c r="H20" s="330">
        <f t="shared" ref="H20:H34" si="3">E20</f>
        <v>0</v>
      </c>
      <c r="I20" s="331"/>
      <c r="J20" s="46"/>
      <c r="K20" s="46"/>
      <c r="L20" s="46"/>
      <c r="M20" s="46"/>
      <c r="N20" s="46"/>
      <c r="O20" s="46"/>
      <c r="P20" s="5"/>
      <c r="Q20" s="5"/>
    </row>
    <row r="21" spans="1:17" ht="18" customHeight="1" thickBot="1">
      <c r="A21" s="334"/>
      <c r="B21" s="260" t="s">
        <v>36</v>
      </c>
      <c r="C21" s="332" t="s">
        <v>442</v>
      </c>
      <c r="D21" s="260" t="s">
        <v>11</v>
      </c>
      <c r="E21" s="20">
        <f>IF(AND('CalculSpeeTile10+SpeeTherm15-30'!$K$24=3, 'CalculSpeeTile10+SpeeTherm15-30'!$V$24=3, 'CalculSpeeTile10+SpeeTherm15-30'!$AG$24=3), 3,
IF(OR(AND('CalculSpeeTile10+SpeeTherm15-30'!$K$24=3, 'CalculSpeeTile10+SpeeTherm15-30'!$V$24=3),
      AND('CalculSpeeTile10+SpeeTherm15-30'!$K$24=3, 'CalculSpeeTile10+SpeeTherm15-30'!$AG$24=3),
      AND('CalculSpeeTile10+SpeeTherm15-30'!$V$24=3, 'CalculSpeeTile10+SpeeTherm15-30'!$AG$24=3)), 2,
IF(OR('CalculSpeeTile10+SpeeTherm15-30'!$K$24=3, 'CalculSpeeTile10+SpeeTherm15-30'!$V$24=3, 'CalculSpeeTile10+SpeeTherm15-30'!$AG$24=3), 1, 0)))</f>
        <v>0</v>
      </c>
      <c r="F21" s="383">
        <v>120</v>
      </c>
      <c r="G21" s="335">
        <f t="shared" si="2"/>
        <v>0</v>
      </c>
      <c r="H21" s="330">
        <f t="shared" si="3"/>
        <v>0</v>
      </c>
      <c r="I21" s="331"/>
      <c r="J21" s="46"/>
      <c r="K21" s="46"/>
      <c r="L21" s="46"/>
      <c r="M21" s="46"/>
      <c r="N21" s="46"/>
      <c r="O21" s="46"/>
      <c r="P21" s="5"/>
      <c r="Q21" s="5"/>
    </row>
    <row r="22" spans="1:17" ht="18" customHeight="1" thickBot="1">
      <c r="A22" s="334"/>
      <c r="B22" s="260" t="s">
        <v>37</v>
      </c>
      <c r="C22" s="332" t="s">
        <v>443</v>
      </c>
      <c r="D22" s="260" t="s">
        <v>11</v>
      </c>
      <c r="E22" s="20">
        <f>IF(AND('CalculSpeeTile10+SpeeTherm15-30'!$K$24=4, 'CalculSpeeTile10+SpeeTherm15-30'!$V$24=4, 'CalculSpeeTile10+SpeeTherm15-30'!$AG$24=4), 3,
IF(OR(AND('CalculSpeeTile10+SpeeTherm15-30'!$K$24=4, 'CalculSpeeTile10+SpeeTherm15-30'!$V$24=4),
      AND('CalculSpeeTile10+SpeeTherm15-30'!$K$24=4, 'CalculSpeeTile10+SpeeTherm15-30'!$AG$24=4),
      AND('CalculSpeeTile10+SpeeTherm15-30'!$V$24=4, 'CalculSpeeTile10+SpeeTherm15-30'!$AG$24=4)), 2,
IF(OR('CalculSpeeTile10+SpeeTherm15-30'!$K$24=4, 'CalculSpeeTile10+SpeeTherm15-30'!$V$24=4, 'CalculSpeeTile10+SpeeTherm15-30'!$AG$24=4), 1, 0)))</f>
        <v>0</v>
      </c>
      <c r="F22" s="383">
        <v>136</v>
      </c>
      <c r="G22" s="335">
        <f t="shared" si="2"/>
        <v>0</v>
      </c>
      <c r="H22" s="330">
        <f t="shared" si="3"/>
        <v>0</v>
      </c>
      <c r="I22" s="331"/>
      <c r="J22" s="5"/>
      <c r="K22" s="5"/>
      <c r="L22" s="5"/>
      <c r="M22" s="5"/>
      <c r="N22" s="5"/>
      <c r="O22" s="5"/>
      <c r="P22" s="5"/>
      <c r="Q22" s="5"/>
    </row>
    <row r="23" spans="1:17" ht="18" customHeight="1" thickBot="1">
      <c r="A23" s="334"/>
      <c r="B23" s="260" t="s">
        <v>23</v>
      </c>
      <c r="C23" s="332" t="s">
        <v>444</v>
      </c>
      <c r="D23" s="260" t="s">
        <v>11</v>
      </c>
      <c r="E23" s="20">
        <f>IF(AND('CalculSpeeTile10+SpeeTherm15-30'!$K$24=5, 'CalculSpeeTile10+SpeeTherm15-30'!$V$24=5, 'CalculSpeeTile10+SpeeTherm15-30'!$AG$24=5), 3,
IF(OR(AND('CalculSpeeTile10+SpeeTherm15-30'!$K$24=5, 'CalculSpeeTile10+SpeeTherm15-30'!$V$24=5),
      AND('CalculSpeeTile10+SpeeTherm15-30'!$K$24=5, 'CalculSpeeTile10+SpeeTherm15-30'!$AG$24=5),
      AND('CalculSpeeTile10+SpeeTherm15-30'!$V$24=5, 'CalculSpeeTile10+SpeeTherm15-30'!$AG$24=5)), 2,
IF(OR('CalculSpeeTile10+SpeeTherm15-30'!$K$24=5, 'CalculSpeeTile10+SpeeTherm15-30'!$V$24=5, 'CalculSpeeTile10+SpeeTherm15-30'!$AG$24=5), 1, 0)))</f>
        <v>0</v>
      </c>
      <c r="F23" s="383">
        <v>151</v>
      </c>
      <c r="G23" s="335">
        <f t="shared" si="2"/>
        <v>0</v>
      </c>
      <c r="H23" s="330">
        <f t="shared" si="3"/>
        <v>0</v>
      </c>
      <c r="I23" s="331"/>
      <c r="J23" s="5"/>
      <c r="K23" s="5"/>
      <c r="L23" s="5"/>
      <c r="M23" s="5"/>
      <c r="N23" s="5"/>
      <c r="O23" s="5"/>
      <c r="P23" s="5"/>
      <c r="Q23" s="5"/>
    </row>
    <row r="24" spans="1:17" ht="18" customHeight="1" thickBot="1">
      <c r="A24" s="334"/>
      <c r="B24" s="260" t="s">
        <v>22</v>
      </c>
      <c r="C24" s="332" t="s">
        <v>445</v>
      </c>
      <c r="D24" s="260" t="s">
        <v>11</v>
      </c>
      <c r="E24" s="20">
        <f>IF(AND('CalculSpeeTile10+SpeeTherm15-30'!$K$24=6, 'CalculSpeeTile10+SpeeTherm15-30'!$V$24=6, 'CalculSpeeTile10+SpeeTherm15-30'!$AG$24=6), 3,
IF(OR(AND('CalculSpeeTile10+SpeeTherm15-30'!$K$24=6, 'CalculSpeeTile10+SpeeTherm15-30'!$V$24=6),
      AND('CalculSpeeTile10+SpeeTherm15-30'!$K$24=6, 'CalculSpeeTile10+SpeeTherm15-30'!$AG$24=6),
      AND('CalculSpeeTile10+SpeeTherm15-30'!$V$24=6, 'CalculSpeeTile10+SpeeTherm15-30'!$AG$24=6)), 2,
IF(OR('CalculSpeeTile10+SpeeTherm15-30'!$K$24=6, 'CalculSpeeTile10+SpeeTherm15-30'!$V$24=6, 'CalculSpeeTile10+SpeeTherm15-30'!$AG$24=6), 1, 0)))</f>
        <v>0</v>
      </c>
      <c r="F24" s="383">
        <v>168</v>
      </c>
      <c r="G24" s="335">
        <f t="shared" si="2"/>
        <v>0</v>
      </c>
      <c r="H24" s="330">
        <f t="shared" si="3"/>
        <v>0</v>
      </c>
      <c r="I24" s="331"/>
      <c r="J24" s="5"/>
      <c r="K24" s="5"/>
      <c r="L24" s="5"/>
      <c r="M24" s="5"/>
      <c r="N24" s="5"/>
      <c r="O24" s="5"/>
      <c r="P24" s="5"/>
      <c r="Q24" s="5"/>
    </row>
    <row r="25" spans="1:17" ht="18" customHeight="1" thickBot="1">
      <c r="A25" s="334"/>
      <c r="B25" s="260" t="s">
        <v>21</v>
      </c>
      <c r="C25" s="332" t="s">
        <v>446</v>
      </c>
      <c r="D25" s="260" t="s">
        <v>11</v>
      </c>
      <c r="E25" s="20">
        <f>IF(AND('CalculSpeeTile10+SpeeTherm15-30'!$K$24=7, 'CalculSpeeTile10+SpeeTherm15-30'!$V$24=7, 'CalculSpeeTile10+SpeeTherm15-30'!$AG$24=7), 3,
IF(OR(AND('CalculSpeeTile10+SpeeTherm15-30'!$K$24=7, 'CalculSpeeTile10+SpeeTherm15-30'!$V$24=7),
      AND('CalculSpeeTile10+SpeeTherm15-30'!$K$24=7, 'CalculSpeeTile10+SpeeTherm15-30'!$AG$24=7),
      AND('CalculSpeeTile10+SpeeTherm15-30'!$V$24=7, 'CalculSpeeTile10+SpeeTherm15-30'!$AG$24=7)), 2,
IF(OR('CalculSpeeTile10+SpeeTherm15-30'!$K$24=7, 'CalculSpeeTile10+SpeeTherm15-30'!$V$24=7, 'CalculSpeeTile10+SpeeTherm15-30'!$AG$24=7), 1, 0)))</f>
        <v>0</v>
      </c>
      <c r="F25" s="383">
        <v>184</v>
      </c>
      <c r="G25" s="335">
        <f t="shared" si="2"/>
        <v>0</v>
      </c>
      <c r="H25" s="330">
        <f t="shared" si="3"/>
        <v>0</v>
      </c>
      <c r="I25" s="331"/>
      <c r="J25" s="5"/>
      <c r="K25" s="5"/>
      <c r="L25" s="5"/>
      <c r="M25" s="5" t="s">
        <v>85</v>
      </c>
      <c r="N25" s="5"/>
      <c r="O25" s="5"/>
      <c r="P25" s="5"/>
      <c r="Q25" s="5"/>
    </row>
    <row r="26" spans="1:17" ht="18" customHeight="1" thickBot="1">
      <c r="A26" s="334"/>
      <c r="B26" s="260" t="s">
        <v>38</v>
      </c>
      <c r="C26" s="332" t="s">
        <v>447</v>
      </c>
      <c r="D26" s="260" t="s">
        <v>11</v>
      </c>
      <c r="E26" s="20">
        <f>IF(AND('CalculSpeeTile10+SpeeTherm15-30'!$K$24=8, 'CalculSpeeTile10+SpeeTherm15-30'!$V$24=8, 'CalculSpeeTile10+SpeeTherm15-30'!$AG$24=8), 3,
IF(OR(AND('CalculSpeeTile10+SpeeTherm15-30'!$K$24=8, 'CalculSpeeTile10+SpeeTherm15-30'!$V$24=8),
      AND('CalculSpeeTile10+SpeeTherm15-30'!$K$24=8, 'CalculSpeeTile10+SpeeTherm15-30'!$AG$24=8),
      AND('CalculSpeeTile10+SpeeTherm15-30'!$V$24=8, 'CalculSpeeTile10+SpeeTherm15-30'!$AG$24=8)), 2,
IF(OR('CalculSpeeTile10+SpeeTherm15-30'!$K$24=8, 'CalculSpeeTile10+SpeeTherm15-30'!$V$24=8, 'CalculSpeeTile10+SpeeTherm15-30'!$AG$24=8), 1, 0)))</f>
        <v>0</v>
      </c>
      <c r="F26" s="383">
        <v>200</v>
      </c>
      <c r="G26" s="335">
        <f t="shared" si="2"/>
        <v>0</v>
      </c>
      <c r="H26" s="330">
        <f t="shared" si="3"/>
        <v>0</v>
      </c>
      <c r="I26" s="331"/>
      <c r="J26" s="5"/>
      <c r="K26" s="5"/>
      <c r="L26" s="5"/>
      <c r="M26" s="5"/>
      <c r="N26" s="5"/>
      <c r="O26" s="5"/>
      <c r="P26" s="5"/>
      <c r="Q26" s="5"/>
    </row>
    <row r="27" spans="1:17" ht="18" customHeight="1" thickBot="1">
      <c r="A27" s="334"/>
      <c r="B27" s="260" t="s">
        <v>39</v>
      </c>
      <c r="C27" s="332" t="s">
        <v>448</v>
      </c>
      <c r="D27" s="260" t="s">
        <v>11</v>
      </c>
      <c r="E27" s="20">
        <f>IF(AND('CalculSpeeTile10+SpeeTherm15-30'!$K$24=9, 'CalculSpeeTile10+SpeeTherm15-30'!$V$24=9, 'CalculSpeeTile10+SpeeTherm15-30'!$AG$24=9), 3,
IF(OR(AND('CalculSpeeTile10+SpeeTherm15-30'!$K$24=9, 'CalculSpeeTile10+SpeeTherm15-30'!$V$24=9),
      AND('CalculSpeeTile10+SpeeTherm15-30'!$K$24=9, 'CalculSpeeTile10+SpeeTherm15-30'!$AG$24=9),
      AND('CalculSpeeTile10+SpeeTherm15-30'!$V$24=9, 'CalculSpeeTile10+SpeeTherm15-30'!$AG$24=9)), 2,
IF(OR('CalculSpeeTile10+SpeeTherm15-30'!$K$24=9, 'CalculSpeeTile10+SpeeTherm15-30'!$V$24=9, 'CalculSpeeTile10+SpeeTherm15-30'!$AG$24=9), 1, 0)))</f>
        <v>0</v>
      </c>
      <c r="F27" s="383">
        <v>215</v>
      </c>
      <c r="G27" s="335">
        <f t="shared" si="2"/>
        <v>0</v>
      </c>
      <c r="H27" s="330">
        <f t="shared" si="3"/>
        <v>0</v>
      </c>
      <c r="I27" s="331"/>
      <c r="J27" s="5"/>
      <c r="K27" s="5"/>
      <c r="L27" s="5"/>
      <c r="M27" s="5"/>
      <c r="N27" s="5"/>
      <c r="O27" s="5"/>
      <c r="P27" s="5"/>
      <c r="Q27" s="5"/>
    </row>
    <row r="28" spans="1:17" ht="18" customHeight="1" thickBot="1">
      <c r="A28" s="334"/>
      <c r="B28" s="260" t="s">
        <v>40</v>
      </c>
      <c r="C28" s="332" t="s">
        <v>449</v>
      </c>
      <c r="D28" s="260" t="s">
        <v>11</v>
      </c>
      <c r="E28" s="20">
        <f>IF(AND('CalculSpeeTile10+SpeeTherm15-30'!$K$24=10, 'CalculSpeeTile10+SpeeTherm15-30'!$V$24=10, 'CalculSpeeTile10+SpeeTherm15-30'!$AG$24=10), 3,
IF(OR(AND('CalculSpeeTile10+SpeeTherm15-30'!$K$24=10, 'CalculSpeeTile10+SpeeTherm15-30'!$V$24=10),
      AND('CalculSpeeTile10+SpeeTherm15-30'!$K$24=10, 'CalculSpeeTile10+SpeeTherm15-30'!$AG$24=10),
      AND('CalculSpeeTile10+SpeeTherm15-30'!$V$24=10, 'CalculSpeeTile10+SpeeTherm15-30'!$AG$24=10)), 2,
IF(OR('CalculSpeeTile10+SpeeTherm15-30'!$K$24=10, 'CalculSpeeTile10+SpeeTherm15-30'!$V$24=10, 'CalculSpeeTile10+SpeeTherm15-30'!$AG$24=10), 1, 0)))</f>
        <v>0</v>
      </c>
      <c r="F28" s="383">
        <v>233</v>
      </c>
      <c r="G28" s="335">
        <f t="shared" si="2"/>
        <v>0</v>
      </c>
      <c r="H28" s="330">
        <f t="shared" si="3"/>
        <v>0</v>
      </c>
      <c r="I28" s="331"/>
      <c r="J28" s="5"/>
      <c r="K28" s="5"/>
      <c r="L28" s="5"/>
      <c r="M28" s="5"/>
      <c r="N28" s="5"/>
      <c r="O28" s="5"/>
      <c r="P28" s="5"/>
      <c r="Q28" s="5"/>
    </row>
    <row r="29" spans="1:17" ht="18" customHeight="1" thickBot="1">
      <c r="A29" s="334"/>
      <c r="B29" s="260" t="s">
        <v>41</v>
      </c>
      <c r="C29" s="332" t="s">
        <v>450</v>
      </c>
      <c r="D29" s="260" t="s">
        <v>11</v>
      </c>
      <c r="E29" s="20">
        <f>IF(AND('CalculSpeeTile10+SpeeTherm15-30'!$K$24=11, 'CalculSpeeTile10+SpeeTherm15-30'!$V$24=11, 'CalculSpeeTile10+SpeeTherm15-30'!$AG$24=11), 3,
IF(OR(AND('CalculSpeeTile10+SpeeTherm15-30'!$K$24=11, 'CalculSpeeTile10+SpeeTherm15-30'!$V$24=11),
      AND('CalculSpeeTile10+SpeeTherm15-30'!$K$24=11, 'CalculSpeeTile10+SpeeTherm15-30'!$AG$24=11),
      AND('CalculSpeeTile10+SpeeTherm15-30'!$V$24=11, 'CalculSpeeTile10+SpeeTherm15-30'!$AG$24=11)), 2,
IF(OR('CalculSpeeTile10+SpeeTherm15-30'!$K$24=11, 'CalculSpeeTile10+SpeeTherm15-30'!$V$24=11, 'CalculSpeeTile10+SpeeTherm15-30'!$AG$24=11), 1, 0)))</f>
        <v>0</v>
      </c>
      <c r="F29" s="383">
        <v>247</v>
      </c>
      <c r="G29" s="335">
        <f t="shared" si="2"/>
        <v>0</v>
      </c>
      <c r="H29" s="330">
        <f t="shared" si="3"/>
        <v>0</v>
      </c>
      <c r="I29" s="331"/>
      <c r="J29" s="5"/>
      <c r="K29" s="5"/>
      <c r="L29" s="5"/>
      <c r="M29" s="5"/>
      <c r="N29" s="5"/>
      <c r="O29" s="5"/>
      <c r="P29" s="5"/>
      <c r="Q29" s="5"/>
    </row>
    <row r="30" spans="1:17" ht="18" customHeight="1" thickBot="1">
      <c r="A30" s="334"/>
      <c r="B30" s="260" t="s">
        <v>42</v>
      </c>
      <c r="C30" s="332" t="s">
        <v>451</v>
      </c>
      <c r="D30" s="260" t="s">
        <v>11</v>
      </c>
      <c r="E30" s="20">
        <f>IF(AND('CalculSpeeTile10+SpeeTherm15-30'!$K$24=12, 'CalculSpeeTile10+SpeeTherm15-30'!$V$24=12, 'CalculSpeeTile10+SpeeTherm15-30'!$AG$24=12), 3,
IF(OR(AND('CalculSpeeTile10+SpeeTherm15-30'!$K$24=12, 'CalculSpeeTile10+SpeeTherm15-30'!$V$24=12),
      AND('CalculSpeeTile10+SpeeTherm15-30'!$K$24=12, 'CalculSpeeTile10+SpeeTherm15-30'!$AG$24=12),
      AND('CalculSpeeTile10+SpeeTherm15-30'!$V$24=12, 'CalculSpeeTile10+SpeeTherm15-30'!$AG$24=12)), 2,
IF(OR('CalculSpeeTile10+SpeeTherm15-30'!$K$24=12, 'CalculSpeeTile10+SpeeTherm15-30'!$V$24=12, 'CalculSpeeTile10+SpeeTherm15-30'!$AG$24=12), 1, 0)))</f>
        <v>0</v>
      </c>
      <c r="F30" s="383">
        <v>265</v>
      </c>
      <c r="G30" s="335">
        <f t="shared" si="2"/>
        <v>0</v>
      </c>
      <c r="H30" s="330">
        <f t="shared" si="3"/>
        <v>0</v>
      </c>
      <c r="I30" s="331"/>
      <c r="J30" s="5"/>
      <c r="K30" s="5"/>
      <c r="L30" s="5"/>
      <c r="M30" s="5"/>
      <c r="N30" s="5"/>
      <c r="O30" s="5"/>
      <c r="P30" s="5"/>
      <c r="Q30" s="5"/>
    </row>
    <row r="31" spans="1:17" ht="18" customHeight="1" thickBot="1">
      <c r="A31" s="334"/>
      <c r="B31" s="260" t="s">
        <v>43</v>
      </c>
      <c r="C31" s="332" t="s">
        <v>452</v>
      </c>
      <c r="D31" s="260" t="s">
        <v>11</v>
      </c>
      <c r="E31" s="20">
        <f>IF(AND('CalculSpeeTile10+SpeeTherm15-30'!$K$24=13, 'CalculSpeeTile10+SpeeTherm15-30'!$V$24=13, 'CalculSpeeTile10+SpeeTherm15-30'!$AG$24=13), 3,
IF(OR(AND('CalculSpeeTile10+SpeeTherm15-30'!$K$24=13, 'CalculSpeeTile10+SpeeTherm15-30'!$V$24=13),
      AND('CalculSpeeTile10+SpeeTherm15-30'!$K$24=13, 'CalculSpeeTile10+SpeeTherm15-30'!$AG$24=13),
      AND('CalculSpeeTile10+SpeeTherm15-30'!$V$24=13, 'CalculSpeeTile10+SpeeTherm15-30'!$AG$24=13)), 2,
IF(OR('CalculSpeeTile10+SpeeTherm15-30'!$K$24=13, 'CalculSpeeTile10+SpeeTherm15-30'!$V$24=13, 'CalculSpeeTile10+SpeeTherm15-30'!$AG$24=13), 1, 0)))</f>
        <v>0</v>
      </c>
      <c r="F31" s="383">
        <v>283</v>
      </c>
      <c r="G31" s="335">
        <f t="shared" si="2"/>
        <v>0</v>
      </c>
      <c r="H31" s="330">
        <f t="shared" si="3"/>
        <v>0</v>
      </c>
      <c r="I31" s="331"/>
      <c r="J31" s="5"/>
      <c r="K31" s="5"/>
      <c r="L31" s="5"/>
      <c r="M31" s="5"/>
      <c r="N31" s="5"/>
      <c r="O31" s="5"/>
      <c r="P31" s="5"/>
      <c r="Q31" s="5"/>
    </row>
    <row r="32" spans="1:17" ht="18" customHeight="1" thickBot="1">
      <c r="A32" s="334"/>
      <c r="B32" s="260" t="s">
        <v>44</v>
      </c>
      <c r="C32" s="332" t="s">
        <v>453</v>
      </c>
      <c r="D32" s="260" t="s">
        <v>11</v>
      </c>
      <c r="E32" s="20">
        <f>IF(AND('CalculSpeeTile10+SpeeTherm15-30'!$K$24=14, 'CalculSpeeTile10+SpeeTherm15-30'!$V$24=14, 'CalculSpeeTile10+SpeeTherm15-30'!$AG$24=14), 3,
IF(OR(AND('CalculSpeeTile10+SpeeTherm15-30'!$K$24=14, 'CalculSpeeTile10+SpeeTherm15-30'!$V$24=14),
      AND('CalculSpeeTile10+SpeeTherm15-30'!$K$24=14, 'CalculSpeeTile10+SpeeTherm15-30'!$AG$24=14),
      AND('CalculSpeeTile10+SpeeTherm15-30'!$V$24=14, 'CalculSpeeTile10+SpeeTherm15-30'!$AG$24=14)), 2,
IF(OR('CalculSpeeTile10+SpeeTherm15-30'!$K$24=14, 'CalculSpeeTile10+SpeeTherm15-30'!$V$24=14, 'CalculSpeeTile10+SpeeTherm15-30'!$AG$24=14), 1, 0)))</f>
        <v>0</v>
      </c>
      <c r="F32" s="383">
        <v>298</v>
      </c>
      <c r="G32" s="335">
        <f t="shared" si="2"/>
        <v>0</v>
      </c>
      <c r="H32" s="330">
        <f t="shared" si="3"/>
        <v>0</v>
      </c>
      <c r="I32" s="331"/>
      <c r="J32" s="5"/>
      <c r="K32" s="5"/>
      <c r="L32" s="5"/>
      <c r="M32" s="5"/>
      <c r="N32" s="5"/>
      <c r="O32" s="5"/>
      <c r="P32" s="5"/>
      <c r="Q32" s="5"/>
    </row>
    <row r="33" spans="1:17" ht="18" customHeight="1" thickBot="1">
      <c r="A33" s="334"/>
      <c r="B33" s="260" t="s">
        <v>45</v>
      </c>
      <c r="C33" s="332" t="s">
        <v>454</v>
      </c>
      <c r="D33" s="260" t="s">
        <v>11</v>
      </c>
      <c r="E33" s="20">
        <f>IF(AND('CalculSpeeTile10+SpeeTherm15-30'!$K$24=15, 'CalculSpeeTile10+SpeeTherm15-30'!$V$24=15, 'CalculSpeeTile10+SpeeTherm15-30'!$AG$24=15), 3,
IF(OR(AND('CalculSpeeTile10+SpeeTherm15-30'!$K$24=15, 'CalculSpeeTile10+SpeeTherm15-30'!$V$24=15),
      AND('CalculSpeeTile10+SpeeTherm15-30'!$K$24=15, 'CalculSpeeTile10+SpeeTherm15-30'!$AG$24=15),
      AND('CalculSpeeTile10+SpeeTherm15-30'!$V$24=15, 'CalculSpeeTile10+SpeeTherm15-30'!$AG$24=15)), 2,
IF(OR('CalculSpeeTile10+SpeeTherm15-30'!$K$24=15, 'CalculSpeeTile10+SpeeTherm15-30'!$V$24=15, 'CalculSpeeTile10+SpeeTherm15-30'!$AG$24=15), 1, 0)))</f>
        <v>0</v>
      </c>
      <c r="F33" s="383">
        <v>314</v>
      </c>
      <c r="G33" s="335">
        <f t="shared" si="2"/>
        <v>0</v>
      </c>
      <c r="H33" s="330">
        <f t="shared" si="3"/>
        <v>0</v>
      </c>
      <c r="I33" s="331"/>
      <c r="J33" s="5"/>
      <c r="K33" s="5"/>
      <c r="L33" s="5"/>
      <c r="M33" s="5"/>
      <c r="N33" s="5"/>
      <c r="O33" s="5"/>
      <c r="P33" s="5"/>
      <c r="Q33" s="5"/>
    </row>
    <row r="34" spans="1:17" ht="18" customHeight="1" thickBot="1">
      <c r="A34" s="346"/>
      <c r="B34" s="347" t="s">
        <v>128</v>
      </c>
      <c r="C34" s="348" t="s">
        <v>455</v>
      </c>
      <c r="D34" s="347" t="s">
        <v>11</v>
      </c>
      <c r="E34" s="384">
        <f>'CalculSpeeTile10+SpeeTherm15-30'!F24</f>
        <v>0</v>
      </c>
      <c r="F34" s="385">
        <v>342</v>
      </c>
      <c r="G34" s="350">
        <f t="shared" si="2"/>
        <v>0</v>
      </c>
      <c r="H34" s="330">
        <f t="shared" si="3"/>
        <v>0</v>
      </c>
      <c r="I34" s="331"/>
      <c r="J34" s="5"/>
      <c r="K34" s="5"/>
      <c r="L34" s="5"/>
      <c r="M34" s="5"/>
      <c r="N34" s="5"/>
      <c r="O34" s="5"/>
      <c r="P34" s="5"/>
      <c r="Q34" s="5"/>
    </row>
    <row r="35" spans="1:17" ht="18" customHeight="1" thickTop="1" thickBot="1">
      <c r="A35" s="589" t="s">
        <v>456</v>
      </c>
      <c r="B35" s="590"/>
      <c r="C35" s="590"/>
      <c r="D35" s="386"/>
      <c r="E35" s="386"/>
      <c r="F35" s="386"/>
      <c r="G35" s="387"/>
      <c r="H35" s="248">
        <f>SUM(H36:H46)</f>
        <v>0</v>
      </c>
      <c r="I35" s="341"/>
      <c r="J35" s="192"/>
      <c r="K35" s="46"/>
      <c r="L35" s="46"/>
      <c r="M35" s="46"/>
      <c r="N35" s="46"/>
      <c r="O35" s="46"/>
      <c r="P35" s="5"/>
      <c r="Q35" s="5"/>
    </row>
    <row r="36" spans="1:17" ht="18" customHeight="1" thickTop="1" thickBot="1">
      <c r="A36" s="326"/>
      <c r="B36" s="388" t="s">
        <v>457</v>
      </c>
      <c r="C36" s="389" t="s">
        <v>458</v>
      </c>
      <c r="D36" s="327" t="s">
        <v>11</v>
      </c>
      <c r="E36" s="314">
        <v>0</v>
      </c>
      <c r="F36" s="378">
        <v>158</v>
      </c>
      <c r="G36" s="329">
        <f t="shared" ref="G36:G46" si="4">E36*F36</f>
        <v>0</v>
      </c>
      <c r="H36" s="330">
        <f t="shared" ref="H36:H46" si="5">E36</f>
        <v>0</v>
      </c>
      <c r="I36" s="331"/>
      <c r="J36" s="46"/>
      <c r="K36" s="46"/>
      <c r="L36" s="46"/>
      <c r="M36" s="46"/>
      <c r="N36" s="46"/>
      <c r="O36" s="46"/>
      <c r="P36" s="5"/>
      <c r="Q36" s="5"/>
    </row>
    <row r="37" spans="1:17" ht="18" customHeight="1" thickBot="1">
      <c r="A37" s="334"/>
      <c r="B37" s="390" t="s">
        <v>459</v>
      </c>
      <c r="C37" s="261" t="s">
        <v>460</v>
      </c>
      <c r="D37" s="260" t="s">
        <v>11</v>
      </c>
      <c r="E37" s="314">
        <v>0</v>
      </c>
      <c r="F37" s="383">
        <v>182</v>
      </c>
      <c r="G37" s="335">
        <f t="shared" si="4"/>
        <v>0</v>
      </c>
      <c r="H37" s="330">
        <f t="shared" si="5"/>
        <v>0</v>
      </c>
      <c r="I37" s="331"/>
      <c r="J37" s="46"/>
      <c r="K37" s="46"/>
      <c r="L37" s="46"/>
      <c r="M37" s="46"/>
      <c r="N37" s="46"/>
      <c r="O37" s="46"/>
      <c r="P37" s="5"/>
      <c r="Q37" s="5"/>
    </row>
    <row r="38" spans="1:17" ht="18" customHeight="1" thickBot="1">
      <c r="A38" s="334"/>
      <c r="B38" s="390" t="s">
        <v>461</v>
      </c>
      <c r="C38" s="261" t="s">
        <v>462</v>
      </c>
      <c r="D38" s="260" t="s">
        <v>11</v>
      </c>
      <c r="E38" s="314">
        <v>0</v>
      </c>
      <c r="F38" s="383">
        <v>202</v>
      </c>
      <c r="G38" s="335">
        <f t="shared" si="4"/>
        <v>0</v>
      </c>
      <c r="H38" s="330">
        <f t="shared" si="5"/>
        <v>0</v>
      </c>
      <c r="I38" s="331"/>
      <c r="J38" s="5"/>
      <c r="K38" s="5"/>
      <c r="L38" s="5"/>
      <c r="M38" s="5"/>
      <c r="N38" s="5"/>
      <c r="O38" s="5"/>
      <c r="P38" s="5"/>
      <c r="Q38" s="5"/>
    </row>
    <row r="39" spans="1:17" ht="18" customHeight="1" thickBot="1">
      <c r="A39" s="334"/>
      <c r="B39" s="390" t="s">
        <v>463</v>
      </c>
      <c r="C39" s="261" t="s">
        <v>464</v>
      </c>
      <c r="D39" s="260" t="s">
        <v>11</v>
      </c>
      <c r="E39" s="314">
        <v>0</v>
      </c>
      <c r="F39" s="383">
        <v>228</v>
      </c>
      <c r="G39" s="335">
        <f t="shared" si="4"/>
        <v>0</v>
      </c>
      <c r="H39" s="330">
        <f t="shared" si="5"/>
        <v>0</v>
      </c>
      <c r="I39" s="331"/>
      <c r="J39" s="5"/>
      <c r="K39" s="5"/>
      <c r="L39" s="5"/>
      <c r="M39" s="5"/>
      <c r="N39" s="5"/>
      <c r="O39" s="5"/>
      <c r="P39" s="5"/>
      <c r="Q39" s="5"/>
    </row>
    <row r="40" spans="1:17" ht="18" customHeight="1" thickBot="1">
      <c r="A40" s="334"/>
      <c r="B40" s="390" t="s">
        <v>465</v>
      </c>
      <c r="C40" s="261" t="s">
        <v>466</v>
      </c>
      <c r="D40" s="260" t="s">
        <v>11</v>
      </c>
      <c r="E40" s="314">
        <v>0</v>
      </c>
      <c r="F40" s="383">
        <v>252</v>
      </c>
      <c r="G40" s="335">
        <f t="shared" si="4"/>
        <v>0</v>
      </c>
      <c r="H40" s="330">
        <f t="shared" si="5"/>
        <v>0</v>
      </c>
      <c r="I40" s="331"/>
      <c r="J40" s="5"/>
      <c r="K40" s="5"/>
      <c r="L40" s="5"/>
      <c r="M40" s="5"/>
      <c r="N40" s="5"/>
      <c r="O40" s="5"/>
      <c r="P40" s="5"/>
      <c r="Q40" s="5"/>
    </row>
    <row r="41" spans="1:17" ht="18" customHeight="1" thickBot="1">
      <c r="A41" s="334"/>
      <c r="B41" s="390" t="s">
        <v>467</v>
      </c>
      <c r="C41" s="261" t="s">
        <v>468</v>
      </c>
      <c r="D41" s="260" t="s">
        <v>11</v>
      </c>
      <c r="E41" s="314">
        <v>0</v>
      </c>
      <c r="F41" s="383">
        <v>274</v>
      </c>
      <c r="G41" s="335">
        <f t="shared" si="4"/>
        <v>0</v>
      </c>
      <c r="H41" s="330">
        <f t="shared" si="5"/>
        <v>0</v>
      </c>
      <c r="I41" s="331"/>
      <c r="J41" s="5"/>
      <c r="K41" s="5"/>
      <c r="L41" s="5"/>
      <c r="M41" s="5" t="s">
        <v>85</v>
      </c>
      <c r="N41" s="5"/>
      <c r="O41" s="5"/>
      <c r="P41" s="5"/>
      <c r="Q41" s="5"/>
    </row>
    <row r="42" spans="1:17" ht="18" customHeight="1" thickBot="1">
      <c r="A42" s="334"/>
      <c r="B42" s="390" t="s">
        <v>469</v>
      </c>
      <c r="C42" s="261" t="s">
        <v>470</v>
      </c>
      <c r="D42" s="260" t="s">
        <v>11</v>
      </c>
      <c r="E42" s="314">
        <v>0</v>
      </c>
      <c r="F42" s="383">
        <v>294</v>
      </c>
      <c r="G42" s="335">
        <f t="shared" si="4"/>
        <v>0</v>
      </c>
      <c r="H42" s="330">
        <f t="shared" si="5"/>
        <v>0</v>
      </c>
      <c r="I42" s="331"/>
      <c r="J42" s="5"/>
      <c r="K42" s="5"/>
      <c r="L42" s="5"/>
      <c r="M42" s="5"/>
      <c r="N42" s="5"/>
      <c r="O42" s="5"/>
      <c r="P42" s="5"/>
      <c r="Q42" s="5"/>
    </row>
    <row r="43" spans="1:17" ht="18" customHeight="1" thickBot="1">
      <c r="A43" s="334"/>
      <c r="B43" s="390" t="s">
        <v>471</v>
      </c>
      <c r="C43" s="261" t="s">
        <v>472</v>
      </c>
      <c r="D43" s="260" t="s">
        <v>11</v>
      </c>
      <c r="E43" s="314">
        <v>0</v>
      </c>
      <c r="F43" s="383">
        <v>318</v>
      </c>
      <c r="G43" s="335">
        <f t="shared" si="4"/>
        <v>0</v>
      </c>
      <c r="H43" s="330">
        <f t="shared" si="5"/>
        <v>0</v>
      </c>
      <c r="I43" s="331"/>
      <c r="J43" s="5"/>
      <c r="K43" s="5"/>
      <c r="L43" s="5"/>
      <c r="M43" s="5"/>
      <c r="N43" s="5"/>
      <c r="O43" s="5"/>
      <c r="P43" s="5"/>
      <c r="Q43" s="5"/>
    </row>
    <row r="44" spans="1:17" ht="18" customHeight="1" thickBot="1">
      <c r="A44" s="334"/>
      <c r="B44" s="390" t="s">
        <v>473</v>
      </c>
      <c r="C44" s="261" t="s">
        <v>474</v>
      </c>
      <c r="D44" s="260" t="s">
        <v>11</v>
      </c>
      <c r="E44" s="314">
        <v>0</v>
      </c>
      <c r="F44" s="383">
        <v>342</v>
      </c>
      <c r="G44" s="335">
        <f t="shared" si="4"/>
        <v>0</v>
      </c>
      <c r="H44" s="330">
        <f t="shared" si="5"/>
        <v>0</v>
      </c>
      <c r="I44" s="331"/>
      <c r="J44" s="5"/>
      <c r="K44" s="5"/>
      <c r="L44" s="5"/>
      <c r="M44" s="5"/>
      <c r="N44" s="5"/>
      <c r="O44" s="5"/>
      <c r="P44" s="5"/>
      <c r="Q44" s="5"/>
    </row>
    <row r="45" spans="1:17" ht="18" customHeight="1" thickBot="1">
      <c r="A45" s="334"/>
      <c r="B45" s="390" t="s">
        <v>475</v>
      </c>
      <c r="C45" s="261" t="s">
        <v>476</v>
      </c>
      <c r="D45" s="260" t="s">
        <v>11</v>
      </c>
      <c r="E45" s="314">
        <v>0</v>
      </c>
      <c r="F45" s="383">
        <v>362</v>
      </c>
      <c r="G45" s="335">
        <f t="shared" si="4"/>
        <v>0</v>
      </c>
      <c r="H45" s="330">
        <f t="shared" si="5"/>
        <v>0</v>
      </c>
      <c r="I45" s="331"/>
      <c r="J45" s="5"/>
      <c r="K45" s="5"/>
      <c r="L45" s="5"/>
      <c r="M45" s="5"/>
      <c r="N45" s="5"/>
      <c r="O45" s="5"/>
      <c r="P45" s="5"/>
      <c r="Q45" s="5"/>
    </row>
    <row r="46" spans="1:17" ht="18" customHeight="1" thickBot="1">
      <c r="A46" s="346"/>
      <c r="B46" s="391" t="s">
        <v>477</v>
      </c>
      <c r="C46" s="392" t="s">
        <v>478</v>
      </c>
      <c r="D46" s="347" t="s">
        <v>11</v>
      </c>
      <c r="E46" s="314">
        <v>0</v>
      </c>
      <c r="F46" s="385">
        <v>382</v>
      </c>
      <c r="G46" s="350">
        <f t="shared" si="4"/>
        <v>0</v>
      </c>
      <c r="H46" s="330">
        <f t="shared" si="5"/>
        <v>0</v>
      </c>
      <c r="I46" s="331"/>
      <c r="J46" s="5"/>
      <c r="K46" s="5"/>
      <c r="L46" s="5"/>
      <c r="M46" s="5"/>
      <c r="N46" s="5"/>
      <c r="O46" s="5"/>
      <c r="P46" s="5"/>
      <c r="Q46" s="5"/>
    </row>
    <row r="47" spans="1:17" ht="18" customHeight="1" thickTop="1" thickBot="1">
      <c r="A47" s="585" t="s">
        <v>479</v>
      </c>
      <c r="B47" s="591"/>
      <c r="C47" s="591"/>
      <c r="D47" s="381"/>
      <c r="E47" s="381"/>
      <c r="F47" s="381"/>
      <c r="G47" s="382"/>
      <c r="H47" s="248">
        <f>SUM(H48:H54)</f>
        <v>0</v>
      </c>
      <c r="I47" s="341"/>
      <c r="J47" s="5"/>
      <c r="K47" s="5"/>
      <c r="L47" s="5"/>
      <c r="M47" s="5"/>
      <c r="N47" s="5"/>
      <c r="O47" s="5"/>
      <c r="P47" s="5"/>
      <c r="Q47" s="5"/>
    </row>
    <row r="48" spans="1:17" ht="18" customHeight="1" thickTop="1" thickBot="1">
      <c r="A48" s="326"/>
      <c r="B48" s="327" t="s">
        <v>129</v>
      </c>
      <c r="C48" s="328" t="s">
        <v>420</v>
      </c>
      <c r="D48" s="327" t="s">
        <v>11</v>
      </c>
      <c r="E48" s="327"/>
      <c r="F48" s="378">
        <v>54</v>
      </c>
      <c r="G48" s="329">
        <f t="shared" ref="G48:G54" si="6">E48*F48</f>
        <v>0</v>
      </c>
      <c r="H48" s="330">
        <f t="shared" ref="H48:H54" si="7">E48</f>
        <v>0</v>
      </c>
      <c r="I48" s="331"/>
      <c r="J48" s="5"/>
      <c r="K48" s="5"/>
      <c r="L48" s="5"/>
      <c r="M48" s="5"/>
      <c r="N48" s="5"/>
      <c r="O48" s="5"/>
      <c r="P48" s="5"/>
      <c r="Q48" s="5"/>
    </row>
    <row r="49" spans="1:17" ht="18" customHeight="1" thickBot="1">
      <c r="A49" s="326"/>
      <c r="B49" s="327" t="s">
        <v>418</v>
      </c>
      <c r="C49" s="328" t="s">
        <v>419</v>
      </c>
      <c r="D49" s="327" t="s">
        <v>11</v>
      </c>
      <c r="E49" s="327"/>
      <c r="F49" s="378">
        <v>58</v>
      </c>
      <c r="G49" s="329">
        <f t="shared" si="6"/>
        <v>0</v>
      </c>
      <c r="H49" s="330">
        <f t="shared" si="7"/>
        <v>0</v>
      </c>
      <c r="I49" s="331"/>
      <c r="J49" s="5"/>
      <c r="K49" s="5"/>
      <c r="L49" s="5"/>
      <c r="M49" s="5"/>
      <c r="N49" s="5"/>
      <c r="O49" s="5"/>
      <c r="P49" s="5"/>
      <c r="Q49" s="5"/>
    </row>
    <row r="50" spans="1:17" ht="18" customHeight="1" thickBot="1">
      <c r="A50" s="334"/>
      <c r="B50" s="260" t="s">
        <v>421</v>
      </c>
      <c r="C50" s="332" t="s">
        <v>422</v>
      </c>
      <c r="D50" s="260" t="s">
        <v>11</v>
      </c>
      <c r="E50" s="333">
        <f>--OR('CalculSpeeTile10+SpeeTherm15-30'!$K$24=2,'CalculSpeeTile10+SpeeTherm15-30'!$K$24=3)
 +--OR('CalculSpeeTile10+SpeeTherm15-30'!$V$24=2,'CalculSpeeTile10+SpeeTherm15-30'!$V$24=3)
 +--OR('CalculSpeeTile10+SpeeTherm15-30'!$AG$24=2,'CalculSpeeTile10+SpeeTherm15-30'!$AG$24=3)</f>
        <v>0</v>
      </c>
      <c r="F50" s="383">
        <v>76</v>
      </c>
      <c r="G50" s="335">
        <f t="shared" si="6"/>
        <v>0</v>
      </c>
      <c r="H50" s="330">
        <f t="shared" si="7"/>
        <v>0</v>
      </c>
      <c r="I50" s="331"/>
      <c r="J50" s="5"/>
      <c r="K50" s="5"/>
      <c r="L50" s="5"/>
      <c r="M50" s="5"/>
      <c r="N50" s="5"/>
      <c r="O50" s="5"/>
      <c r="P50" s="5"/>
      <c r="Q50" s="5"/>
    </row>
    <row r="51" spans="1:17" ht="18" customHeight="1" thickBot="1">
      <c r="A51" s="334"/>
      <c r="B51" s="260" t="s">
        <v>412</v>
      </c>
      <c r="C51" s="332" t="s">
        <v>423</v>
      </c>
      <c r="D51" s="260" t="s">
        <v>11</v>
      </c>
      <c r="E51" s="333" cm="1">
        <f t="array" ref="E51">--OR('CalculSpeeTile10+SpeeTherm15-30'!$K$24={4,5,6,7})
 +--OR('CalculSpeeTile10+SpeeTherm15-30'!$V$24={4,5,6,7})
 +--OR('CalculSpeeTile10+SpeeTherm15-30'!$AG$24={4,5,6,7})</f>
        <v>0</v>
      </c>
      <c r="F51" s="383">
        <v>82</v>
      </c>
      <c r="G51" s="335">
        <f t="shared" si="6"/>
        <v>0</v>
      </c>
      <c r="H51" s="330">
        <f t="shared" si="7"/>
        <v>0</v>
      </c>
      <c r="I51" s="331"/>
      <c r="J51" s="5"/>
      <c r="K51" s="5"/>
      <c r="L51" s="5"/>
      <c r="M51" s="5"/>
      <c r="N51" s="5"/>
      <c r="O51" s="5"/>
      <c r="P51" s="5"/>
      <c r="Q51" s="5"/>
    </row>
    <row r="52" spans="1:17" ht="18" customHeight="1" thickBot="1">
      <c r="A52" s="334"/>
      <c r="B52" s="260" t="s">
        <v>130</v>
      </c>
      <c r="C52" s="332" t="s">
        <v>424</v>
      </c>
      <c r="D52" s="260" t="s">
        <v>11</v>
      </c>
      <c r="E52" s="333" cm="1">
        <f t="array" ref="E52">--OR('CalculSpeeTile10+SpeeTherm15-30'!$K$24={8,9,10,11})
 +--OR('CalculSpeeTile10+SpeeTherm15-30'!$V$24={8,9,10,11})
 +--OR('CalculSpeeTile10+SpeeTherm15-30'!$AG$24={8,9,10,11})</f>
        <v>0</v>
      </c>
      <c r="F52" s="383">
        <v>96</v>
      </c>
      <c r="G52" s="335">
        <f t="shared" si="6"/>
        <v>0</v>
      </c>
      <c r="H52" s="330">
        <f t="shared" si="7"/>
        <v>0</v>
      </c>
      <c r="I52" s="331"/>
      <c r="J52" s="5"/>
      <c r="K52" s="5"/>
      <c r="L52" s="5"/>
      <c r="M52" s="5"/>
      <c r="N52" s="5"/>
      <c r="O52" s="5"/>
      <c r="P52" s="5"/>
      <c r="Q52" s="5"/>
    </row>
    <row r="53" spans="1:17" ht="18" customHeight="1" thickBot="1">
      <c r="A53" s="334"/>
      <c r="B53" s="260" t="s">
        <v>131</v>
      </c>
      <c r="C53" s="332" t="s">
        <v>425</v>
      </c>
      <c r="D53" s="260" t="s">
        <v>11</v>
      </c>
      <c r="E53" s="333" cm="1">
        <f t="array" ref="E53">--OR('CalculSpeeTile10+SpeeTherm15-30'!$K$24={12,13})
 +--OR('CalculSpeeTile10+SpeeTherm15-30'!$V$24={12,13})
 +--OR('CalculSpeeTile10+SpeeTherm15-30'!$AG$24={12,13})</f>
        <v>0</v>
      </c>
      <c r="F53" s="383">
        <v>102</v>
      </c>
      <c r="G53" s="335">
        <f t="shared" si="6"/>
        <v>0</v>
      </c>
      <c r="H53" s="330">
        <f t="shared" si="7"/>
        <v>0</v>
      </c>
      <c r="I53" s="331"/>
      <c r="J53" s="5"/>
      <c r="K53" s="5"/>
      <c r="L53" s="5"/>
      <c r="M53" s="5"/>
      <c r="N53" s="5"/>
      <c r="O53" s="5"/>
      <c r="P53" s="5"/>
      <c r="Q53" s="5"/>
    </row>
    <row r="54" spans="1:17" ht="18" customHeight="1" thickBot="1">
      <c r="A54" s="346"/>
      <c r="B54" s="347" t="s">
        <v>325</v>
      </c>
      <c r="C54" s="348" t="s">
        <v>426</v>
      </c>
      <c r="D54" s="347" t="s">
        <v>11</v>
      </c>
      <c r="E54" s="349" cm="1">
        <f t="array" ref="E54">--OR('CalculSpeeTile10+SpeeTherm15-30'!$K$24={14,15})
 +--OR('CalculSpeeTile10+SpeeTherm15-30'!$V$24={14,15})
 +--OR('CalculSpeeTile10+SpeeTherm15-30'!$AG$24={14,15})</f>
        <v>0</v>
      </c>
      <c r="F54" s="385">
        <v>120</v>
      </c>
      <c r="G54" s="350">
        <f t="shared" si="6"/>
        <v>0</v>
      </c>
      <c r="H54" s="330">
        <f t="shared" si="7"/>
        <v>0</v>
      </c>
      <c r="I54" s="331"/>
      <c r="J54" s="5"/>
      <c r="K54" s="5"/>
      <c r="L54" s="5"/>
      <c r="M54" s="5"/>
      <c r="N54" s="5"/>
      <c r="O54" s="5"/>
      <c r="P54" s="5"/>
      <c r="Q54" s="5"/>
    </row>
    <row r="55" spans="1:17" ht="18" customHeight="1" thickTop="1" thickBot="1">
      <c r="A55" s="585" t="s">
        <v>480</v>
      </c>
      <c r="B55" s="591"/>
      <c r="C55" s="591"/>
      <c r="D55" s="592"/>
      <c r="E55" s="393">
        <f>'CalculSpeeTile10+SpeeTherm15-30'!G20+'CalculSpeeTile10+SpeeTherm15-30'!R20+'CalculSpeeTile10+SpeeTherm15-30'!AC20</f>
        <v>0</v>
      </c>
      <c r="F55" s="381"/>
      <c r="G55" s="382"/>
      <c r="H55" s="248">
        <f>SUM(H56)</f>
        <v>0</v>
      </c>
      <c r="I55" s="341"/>
      <c r="J55" s="5"/>
      <c r="K55" s="5"/>
      <c r="L55" s="5"/>
      <c r="M55" s="5"/>
      <c r="N55" s="5"/>
      <c r="O55" s="5"/>
      <c r="P55" s="5"/>
      <c r="Q55" s="5"/>
    </row>
    <row r="56" spans="1:17" ht="18" customHeight="1" thickTop="1" thickBot="1">
      <c r="A56" s="394"/>
      <c r="B56" s="395" t="s">
        <v>481</v>
      </c>
      <c r="C56" s="396" t="s">
        <v>482</v>
      </c>
      <c r="D56" s="395" t="s">
        <v>11</v>
      </c>
      <c r="E56" s="397">
        <f>'CalculSpeeTile10+SpeeTherm15-30'!B24</f>
        <v>0</v>
      </c>
      <c r="F56" s="398">
        <v>17</v>
      </c>
      <c r="G56" s="399">
        <f t="shared" ref="G56:G76" si="8">E56*F56</f>
        <v>0</v>
      </c>
      <c r="H56" s="330">
        <f t="shared" ref="H56:H76" si="9">E56</f>
        <v>0</v>
      </c>
      <c r="I56" s="353"/>
      <c r="J56" s="5"/>
      <c r="K56" s="5"/>
      <c r="L56" s="5"/>
      <c r="M56" s="5"/>
      <c r="N56" s="5"/>
      <c r="O56" s="5"/>
      <c r="P56" s="5"/>
      <c r="Q56" s="5"/>
    </row>
    <row r="57" spans="1:17" ht="18" customHeight="1" thickBot="1">
      <c r="A57" s="334"/>
      <c r="B57" s="260" t="s">
        <v>84</v>
      </c>
      <c r="C57" s="332" t="s">
        <v>483</v>
      </c>
      <c r="D57" s="260" t="s">
        <v>484</v>
      </c>
      <c r="E57" s="260"/>
      <c r="F57" s="383">
        <v>4</v>
      </c>
      <c r="G57" s="335">
        <f t="shared" si="8"/>
        <v>0</v>
      </c>
      <c r="H57" s="330">
        <f t="shared" si="9"/>
        <v>0</v>
      </c>
      <c r="I57" s="331"/>
      <c r="J57" s="5"/>
      <c r="K57" s="5"/>
      <c r="L57" s="5"/>
      <c r="M57" s="5"/>
      <c r="N57" s="5"/>
      <c r="O57" s="5"/>
      <c r="P57" s="5"/>
      <c r="Q57" s="5"/>
    </row>
    <row r="58" spans="1:17" ht="18" customHeight="1" thickBot="1">
      <c r="A58" s="400"/>
      <c r="B58" s="401" t="s">
        <v>485</v>
      </c>
      <c r="C58" s="332" t="s">
        <v>486</v>
      </c>
      <c r="D58" s="260" t="s">
        <v>484</v>
      </c>
      <c r="E58" s="402">
        <f>'CalculSpeeTile10+SpeeTherm15-30'!I24+'CalculSpeeTile10+SpeeTherm15-30'!T24+'CalculSpeeTile10+SpeeTherm15-30'!AE24</f>
        <v>0</v>
      </c>
      <c r="F58" s="403">
        <v>12</v>
      </c>
      <c r="G58" s="335">
        <f t="shared" si="8"/>
        <v>0</v>
      </c>
      <c r="H58" s="330">
        <f t="shared" si="9"/>
        <v>0</v>
      </c>
      <c r="I58" s="331"/>
      <c r="J58" s="5"/>
      <c r="K58" s="5"/>
      <c r="L58" s="5"/>
      <c r="M58" s="5"/>
      <c r="N58" s="5"/>
      <c r="O58" s="5"/>
      <c r="P58" s="5"/>
      <c r="Q58" s="5"/>
    </row>
    <row r="59" spans="1:17" ht="18" customHeight="1" thickBot="1">
      <c r="A59" s="404"/>
      <c r="B59" s="380" t="s">
        <v>487</v>
      </c>
      <c r="C59" s="348" t="s">
        <v>488</v>
      </c>
      <c r="D59" s="347" t="s">
        <v>484</v>
      </c>
      <c r="E59" s="405">
        <f>'CalculSpeeTile10+SpeeTherm15-30'!L24+'CalculSpeeTile10+SpeeTherm15-30'!W24+'CalculSpeeTile10+SpeeTherm15-30'!AH24</f>
        <v>0</v>
      </c>
      <c r="F59" s="385">
        <v>15</v>
      </c>
      <c r="G59" s="350">
        <f t="shared" si="8"/>
        <v>0</v>
      </c>
      <c r="H59" s="330">
        <f t="shared" si="9"/>
        <v>0</v>
      </c>
      <c r="I59" s="331"/>
      <c r="J59" s="5"/>
      <c r="K59" s="5"/>
      <c r="L59" s="5"/>
      <c r="M59" s="5"/>
      <c r="N59" s="5"/>
      <c r="O59" s="5"/>
      <c r="P59" s="5"/>
      <c r="Q59" s="5"/>
    </row>
    <row r="60" spans="1:17" ht="18" customHeight="1" thickTop="1" thickBot="1">
      <c r="A60" s="585" t="s">
        <v>489</v>
      </c>
      <c r="B60" s="586"/>
      <c r="C60" s="586"/>
      <c r="D60" s="381"/>
      <c r="E60" s="381"/>
      <c r="F60" s="381"/>
      <c r="G60" s="382"/>
      <c r="H60" s="248">
        <f>SUM(H61:H76)</f>
        <v>0</v>
      </c>
      <c r="I60" s="341"/>
      <c r="J60" s="5"/>
      <c r="K60" s="5"/>
      <c r="L60" s="5"/>
      <c r="M60" s="5"/>
      <c r="N60" s="5"/>
      <c r="O60" s="5"/>
      <c r="P60" s="5"/>
      <c r="Q60" s="5"/>
    </row>
    <row r="61" spans="1:17" ht="18" customHeight="1" thickTop="1" thickBot="1">
      <c r="A61" s="326"/>
      <c r="B61" s="327" t="s">
        <v>15</v>
      </c>
      <c r="C61" s="328" t="s">
        <v>490</v>
      </c>
      <c r="D61" s="327" t="s">
        <v>14</v>
      </c>
      <c r="E61" s="327">
        <f>IF('CalculSpeeTile10+SpeeTherm15-30'!AB24=0,0,CEILING(('CalculSpeeTile10+SpeeTherm15-30'!AB24-E62*75)/30,1))</f>
        <v>0</v>
      </c>
      <c r="F61" s="378">
        <v>50</v>
      </c>
      <c r="G61" s="329">
        <f t="shared" si="8"/>
        <v>0</v>
      </c>
      <c r="H61" s="330">
        <f t="shared" si="9"/>
        <v>0</v>
      </c>
      <c r="I61" s="331"/>
      <c r="J61" s="5"/>
      <c r="K61" s="5"/>
      <c r="L61" s="5"/>
      <c r="M61" s="5"/>
      <c r="N61" s="5"/>
      <c r="O61" s="5"/>
      <c r="P61" s="5"/>
      <c r="Q61" s="5"/>
    </row>
    <row r="62" spans="1:17" ht="18" customHeight="1" thickBot="1">
      <c r="A62" s="334"/>
      <c r="B62" s="260" t="s">
        <v>101</v>
      </c>
      <c r="C62" s="332" t="s">
        <v>491</v>
      </c>
      <c r="D62" s="260" t="s">
        <v>14</v>
      </c>
      <c r="E62" s="260">
        <f>IF('CalculSpeeTile10+SpeeTherm15-30'!AB24=0,0,INT('CalculSpeeTile10+SpeeTherm15-30'!AB24/75))</f>
        <v>0</v>
      </c>
      <c r="F62" s="383">
        <v>119</v>
      </c>
      <c r="G62" s="335">
        <f t="shared" si="8"/>
        <v>0</v>
      </c>
      <c r="H62" s="330">
        <f t="shared" si="9"/>
        <v>0</v>
      </c>
      <c r="I62" s="331"/>
      <c r="J62" s="5"/>
      <c r="K62" s="5"/>
      <c r="L62" s="5"/>
      <c r="M62" s="5"/>
      <c r="N62" s="5"/>
      <c r="O62" s="5"/>
      <c r="P62" s="5"/>
      <c r="Q62" s="5"/>
    </row>
    <row r="63" spans="1:17" ht="18" customHeight="1" thickBot="1">
      <c r="A63" s="406"/>
      <c r="B63" s="407" t="s">
        <v>492</v>
      </c>
      <c r="C63" s="408" t="s">
        <v>493</v>
      </c>
      <c r="D63" s="407" t="s">
        <v>11</v>
      </c>
      <c r="E63" s="407">
        <f>'CalculSpeeTile10+SpeeTherm15-30'!M24</f>
        <v>0</v>
      </c>
      <c r="F63" s="383">
        <v>0.55000000000000004</v>
      </c>
      <c r="G63" s="335">
        <f t="shared" si="8"/>
        <v>0</v>
      </c>
      <c r="H63" s="330">
        <f t="shared" si="9"/>
        <v>0</v>
      </c>
      <c r="I63" s="331"/>
      <c r="J63" s="5"/>
      <c r="K63" s="5"/>
      <c r="L63" s="5"/>
      <c r="M63" s="5"/>
      <c r="N63" s="5"/>
      <c r="O63" s="5"/>
      <c r="P63" s="5"/>
      <c r="Q63" s="5"/>
    </row>
    <row r="64" spans="1:17" ht="18" customHeight="1" thickBot="1">
      <c r="A64" s="406"/>
      <c r="B64" s="407" t="s">
        <v>494</v>
      </c>
      <c r="C64" s="408" t="s">
        <v>495</v>
      </c>
      <c r="D64" s="407" t="s">
        <v>11</v>
      </c>
      <c r="E64" s="407">
        <f>'CalculSpeeTile10+SpeeTherm15-30'!N24</f>
        <v>0</v>
      </c>
      <c r="F64" s="383">
        <v>0.55000000000000004</v>
      </c>
      <c r="G64" s="335">
        <f t="shared" si="8"/>
        <v>0</v>
      </c>
      <c r="H64" s="330">
        <f t="shared" si="9"/>
        <v>0</v>
      </c>
      <c r="I64" s="331"/>
      <c r="J64" s="5"/>
      <c r="K64" s="5"/>
      <c r="L64" s="5"/>
      <c r="M64" s="5"/>
      <c r="N64" s="5"/>
      <c r="O64" s="5"/>
      <c r="P64" s="5"/>
      <c r="Q64" s="5"/>
    </row>
    <row r="65" spans="1:17" ht="18" customHeight="1" thickBot="1">
      <c r="A65" s="406"/>
      <c r="B65" s="407" t="s">
        <v>496</v>
      </c>
      <c r="C65" s="408" t="s">
        <v>497</v>
      </c>
      <c r="D65" s="407" t="s">
        <v>11</v>
      </c>
      <c r="E65" s="409">
        <f>'CalculSpeeTile10+SpeeTherm15-30'!P24</f>
        <v>0</v>
      </c>
      <c r="F65" s="383">
        <v>0.8</v>
      </c>
      <c r="G65" s="335">
        <f t="shared" si="8"/>
        <v>0</v>
      </c>
      <c r="H65" s="330">
        <f t="shared" si="9"/>
        <v>0</v>
      </c>
      <c r="I65" s="331"/>
      <c r="J65" s="5"/>
      <c r="K65" s="5"/>
      <c r="L65" s="5"/>
      <c r="M65" s="5"/>
      <c r="N65" s="5"/>
      <c r="O65" s="5"/>
      <c r="P65" s="5"/>
      <c r="Q65" s="5"/>
    </row>
    <row r="66" spans="1:17" ht="18" customHeight="1" thickBot="1">
      <c r="A66" s="406"/>
      <c r="B66" s="407" t="s">
        <v>498</v>
      </c>
      <c r="C66" s="408" t="s">
        <v>499</v>
      </c>
      <c r="D66" s="407" t="s">
        <v>11</v>
      </c>
      <c r="E66" s="407">
        <f>'CalculSpeeTile10+SpeeTherm15-30'!Y24</f>
        <v>0</v>
      </c>
      <c r="F66" s="383">
        <v>9.24</v>
      </c>
      <c r="G66" s="335">
        <f t="shared" si="8"/>
        <v>0</v>
      </c>
      <c r="H66" s="330">
        <f t="shared" si="9"/>
        <v>0</v>
      </c>
      <c r="I66" s="331"/>
      <c r="J66" s="5"/>
      <c r="K66" s="5"/>
      <c r="L66" s="5"/>
      <c r="M66" s="5"/>
      <c r="N66" s="5"/>
      <c r="O66" s="5"/>
      <c r="P66" s="5"/>
      <c r="Q66" s="5"/>
    </row>
    <row r="67" spans="1:17" ht="18" customHeight="1" thickBot="1">
      <c r="A67" s="406"/>
      <c r="B67" s="407" t="s">
        <v>500</v>
      </c>
      <c r="C67" s="408" t="s">
        <v>501</v>
      </c>
      <c r="D67" s="407" t="s">
        <v>11</v>
      </c>
      <c r="E67" s="409">
        <f>'CalculSpeeTile10+SpeeTherm15-30'!AA24</f>
        <v>0</v>
      </c>
      <c r="F67" s="383">
        <v>4</v>
      </c>
      <c r="G67" s="335">
        <f t="shared" si="8"/>
        <v>0</v>
      </c>
      <c r="H67" s="330">
        <f t="shared" si="9"/>
        <v>0</v>
      </c>
      <c r="I67" s="331"/>
      <c r="J67" s="5"/>
      <c r="K67" s="5"/>
      <c r="L67" s="5"/>
      <c r="M67" s="5"/>
      <c r="N67" s="5"/>
      <c r="O67" s="5"/>
      <c r="P67" s="5"/>
      <c r="Q67" s="5"/>
    </row>
    <row r="68" spans="1:17" ht="18" customHeight="1" thickBot="1">
      <c r="A68" s="406"/>
      <c r="B68" s="407">
        <v>720200</v>
      </c>
      <c r="C68" s="408" t="s">
        <v>502</v>
      </c>
      <c r="D68" s="407" t="s">
        <v>11</v>
      </c>
      <c r="E68" s="407">
        <f>'CalculSpeeTile10+SpeeTherm15-30'!AC24</f>
        <v>0</v>
      </c>
      <c r="F68" s="383">
        <v>5</v>
      </c>
      <c r="G68" s="335">
        <f t="shared" si="8"/>
        <v>0</v>
      </c>
      <c r="H68" s="330">
        <f t="shared" si="9"/>
        <v>0</v>
      </c>
      <c r="I68" s="331"/>
      <c r="J68" s="5"/>
      <c r="K68" s="5"/>
      <c r="L68" s="5"/>
      <c r="M68" s="5"/>
      <c r="N68" s="5"/>
      <c r="O68" s="5"/>
      <c r="P68" s="5"/>
      <c r="Q68" s="5"/>
    </row>
    <row r="69" spans="1:17" ht="18" customHeight="1" thickBot="1">
      <c r="A69" s="410"/>
      <c r="B69" s="411">
        <v>630112</v>
      </c>
      <c r="C69" s="412" t="s">
        <v>503</v>
      </c>
      <c r="D69" s="411" t="s">
        <v>13</v>
      </c>
      <c r="E69" s="411"/>
      <c r="F69" s="383">
        <v>81</v>
      </c>
      <c r="G69" s="335">
        <f t="shared" si="8"/>
        <v>0</v>
      </c>
      <c r="H69" s="330">
        <f t="shared" si="9"/>
        <v>0</v>
      </c>
      <c r="I69" s="331"/>
      <c r="J69" s="5"/>
      <c r="K69" s="5"/>
      <c r="L69" s="5"/>
      <c r="M69" s="5"/>
      <c r="N69" s="5"/>
      <c r="O69" s="5"/>
      <c r="P69" s="5"/>
      <c r="Q69" s="5"/>
    </row>
    <row r="70" spans="1:17" ht="24.45" customHeight="1" thickBot="1">
      <c r="A70" s="410"/>
      <c r="B70" s="411">
        <v>630113</v>
      </c>
      <c r="C70" s="413" t="s">
        <v>504</v>
      </c>
      <c r="D70" s="411" t="s">
        <v>13</v>
      </c>
      <c r="E70" s="411"/>
      <c r="F70" s="383">
        <v>123</v>
      </c>
      <c r="G70" s="335">
        <f t="shared" si="8"/>
        <v>0</v>
      </c>
      <c r="H70" s="330">
        <f t="shared" si="9"/>
        <v>0</v>
      </c>
      <c r="I70" s="331"/>
      <c r="J70" s="5"/>
      <c r="K70" s="5"/>
      <c r="L70" s="5"/>
      <c r="M70" s="5"/>
      <c r="N70" s="5"/>
      <c r="O70" s="5"/>
      <c r="P70" s="5"/>
      <c r="Q70" s="5"/>
    </row>
    <row r="71" spans="1:17" ht="18" customHeight="1" thickBot="1">
      <c r="A71" s="334"/>
      <c r="B71" s="260" t="s">
        <v>505</v>
      </c>
      <c r="C71" s="332" t="s">
        <v>506</v>
      </c>
      <c r="D71" s="260" t="s">
        <v>439</v>
      </c>
      <c r="E71" s="260">
        <f>'CalculSpeeTile10+SpeeTherm15-30'!G24</f>
        <v>0</v>
      </c>
      <c r="F71" s="383">
        <v>6</v>
      </c>
      <c r="G71" s="335">
        <f t="shared" si="8"/>
        <v>0</v>
      </c>
      <c r="H71" s="330">
        <f t="shared" si="9"/>
        <v>0</v>
      </c>
      <c r="I71" s="331"/>
      <c r="J71" s="5"/>
      <c r="K71" s="5"/>
      <c r="L71" s="5"/>
      <c r="M71" s="5"/>
      <c r="N71" s="5"/>
      <c r="O71" s="5"/>
      <c r="P71" s="5"/>
      <c r="Q71" s="5"/>
    </row>
    <row r="72" spans="1:17" ht="18" customHeight="1" thickBot="1">
      <c r="A72" s="406"/>
      <c r="B72" s="407" t="s">
        <v>507</v>
      </c>
      <c r="C72" s="332" t="s">
        <v>508</v>
      </c>
      <c r="D72" s="407" t="s">
        <v>11</v>
      </c>
      <c r="E72" s="409">
        <f>'CalculSpeeTile10+SpeeTherm15-30'!Q24</f>
        <v>0</v>
      </c>
      <c r="F72" s="383">
        <v>8</v>
      </c>
      <c r="G72" s="335">
        <f t="shared" si="8"/>
        <v>0</v>
      </c>
      <c r="H72" s="330">
        <f t="shared" si="9"/>
        <v>0</v>
      </c>
      <c r="I72" s="414"/>
      <c r="J72" s="5"/>
      <c r="K72" s="5"/>
      <c r="L72" s="5"/>
      <c r="M72" s="5"/>
      <c r="N72" s="5"/>
      <c r="O72" s="5"/>
      <c r="P72" s="5"/>
      <c r="Q72" s="5"/>
    </row>
    <row r="73" spans="1:17" ht="18" customHeight="1" thickBot="1">
      <c r="A73" s="406"/>
      <c r="B73" s="407" t="s">
        <v>509</v>
      </c>
      <c r="C73" s="332" t="s">
        <v>510</v>
      </c>
      <c r="D73" s="407" t="s">
        <v>11</v>
      </c>
      <c r="E73" s="407"/>
      <c r="F73" s="383">
        <v>304</v>
      </c>
      <c r="G73" s="335">
        <f t="shared" si="8"/>
        <v>0</v>
      </c>
      <c r="H73" s="330">
        <f t="shared" si="9"/>
        <v>0</v>
      </c>
      <c r="I73" s="414"/>
      <c r="J73" s="5"/>
      <c r="K73" s="5"/>
      <c r="L73" s="5"/>
      <c r="M73" s="5"/>
      <c r="N73" s="5"/>
      <c r="O73" s="5"/>
      <c r="P73" s="5"/>
      <c r="Q73" s="5"/>
    </row>
    <row r="74" spans="1:17" ht="18" customHeight="1" thickBot="1">
      <c r="A74" s="406"/>
      <c r="B74" s="407" t="s">
        <v>511</v>
      </c>
      <c r="C74" s="332" t="s">
        <v>512</v>
      </c>
      <c r="D74" s="407" t="s">
        <v>11</v>
      </c>
      <c r="E74" s="407">
        <f>'CalculSpeeTile10+SpeeTherm15-30'!R24</f>
        <v>0</v>
      </c>
      <c r="F74" s="383">
        <v>21</v>
      </c>
      <c r="G74" s="335">
        <f t="shared" si="8"/>
        <v>0</v>
      </c>
      <c r="H74" s="330">
        <f t="shared" si="9"/>
        <v>0</v>
      </c>
      <c r="I74" s="414"/>
      <c r="J74" s="5"/>
      <c r="K74" s="5"/>
      <c r="L74" s="5"/>
      <c r="M74" s="5"/>
      <c r="N74" s="5"/>
      <c r="O74" s="5"/>
      <c r="P74" s="5"/>
      <c r="Q74" s="5"/>
    </row>
    <row r="75" spans="1:17" ht="18" customHeight="1" thickBot="1">
      <c r="A75" s="406"/>
      <c r="B75" s="407" t="s">
        <v>513</v>
      </c>
      <c r="C75" s="332" t="s">
        <v>514</v>
      </c>
      <c r="D75" s="407" t="s">
        <v>11</v>
      </c>
      <c r="E75" s="407"/>
      <c r="F75" s="383">
        <v>145</v>
      </c>
      <c r="G75" s="335">
        <f t="shared" si="8"/>
        <v>0</v>
      </c>
      <c r="H75" s="330">
        <f t="shared" si="9"/>
        <v>0</v>
      </c>
      <c r="I75" s="415"/>
      <c r="J75" s="5"/>
      <c r="K75" s="5"/>
      <c r="L75" s="5"/>
      <c r="M75" s="5"/>
      <c r="N75" s="5"/>
      <c r="O75" s="5"/>
      <c r="P75" s="5"/>
      <c r="Q75" s="5"/>
    </row>
    <row r="76" spans="1:17" ht="18" customHeight="1" thickBot="1">
      <c r="A76" s="416"/>
      <c r="B76" s="417" t="s">
        <v>515</v>
      </c>
      <c r="C76" s="418" t="s">
        <v>516</v>
      </c>
      <c r="D76" s="419" t="s">
        <v>11</v>
      </c>
      <c r="E76" s="419">
        <f>'CalculSpeeTile10+SpeeTherm15-30'!X24</f>
        <v>0</v>
      </c>
      <c r="F76" s="420">
        <v>28</v>
      </c>
      <c r="G76" s="421">
        <f t="shared" si="8"/>
        <v>0</v>
      </c>
      <c r="H76" s="330">
        <f t="shared" si="9"/>
        <v>0</v>
      </c>
      <c r="I76" s="415"/>
      <c r="J76" s="5"/>
      <c r="K76" s="5"/>
      <c r="L76" s="5"/>
      <c r="M76" s="5"/>
      <c r="N76" s="5"/>
      <c r="O76" s="5"/>
      <c r="P76" s="5"/>
      <c r="Q76" s="5"/>
    </row>
    <row r="77" spans="1:17" ht="18" customHeight="1" thickTop="1" thickBot="1">
      <c r="A77" s="537" t="s">
        <v>25</v>
      </c>
      <c r="B77" s="538"/>
      <c r="C77" s="538"/>
      <c r="D77" s="538"/>
      <c r="E77" s="265"/>
      <c r="F77" s="11"/>
      <c r="G77" s="422">
        <f>SUM(G17:G76)</f>
        <v>0</v>
      </c>
      <c r="H77" s="423">
        <f>G77</f>
        <v>0</v>
      </c>
      <c r="I77" s="5"/>
      <c r="J77" s="5"/>
      <c r="K77" s="5"/>
      <c r="L77" s="5"/>
      <c r="M77" s="5"/>
      <c r="N77" s="5"/>
      <c r="O77" s="5"/>
      <c r="P77" s="5"/>
      <c r="Q77" s="5"/>
    </row>
    <row r="78" spans="1:17" ht="18" customHeight="1" thickTop="1" thickBot="1">
      <c r="A78" s="522" t="s">
        <v>156</v>
      </c>
      <c r="B78" s="539"/>
      <c r="C78" s="539"/>
      <c r="D78" s="539"/>
      <c r="E78" s="47">
        <v>0.05</v>
      </c>
      <c r="F78" s="153"/>
      <c r="G78" s="98">
        <f>G77*(1-E78)</f>
        <v>0</v>
      </c>
      <c r="H78" s="423">
        <f t="shared" ref="H78:H79" si="10">G78</f>
        <v>0</v>
      </c>
      <c r="I78" s="5"/>
      <c r="J78" s="5"/>
      <c r="K78" s="5"/>
      <c r="L78" s="5"/>
      <c r="M78" s="5"/>
      <c r="N78" s="5"/>
      <c r="O78" s="5"/>
      <c r="P78" s="5"/>
      <c r="Q78" s="5"/>
    </row>
    <row r="79" spans="1:17" ht="18" customHeight="1" thickTop="1" thickBot="1">
      <c r="A79" s="522" t="s">
        <v>143</v>
      </c>
      <c r="B79" s="540"/>
      <c r="C79" s="540"/>
      <c r="D79" s="540"/>
      <c r="E79" s="42"/>
      <c r="F79" s="153"/>
      <c r="G79" s="98">
        <f>G78*1.21</f>
        <v>0</v>
      </c>
      <c r="H79" s="423">
        <f t="shared" si="10"/>
        <v>0</v>
      </c>
      <c r="I79" s="5"/>
      <c r="J79" s="5"/>
      <c r="K79" s="5"/>
      <c r="L79" s="5"/>
      <c r="M79" s="5"/>
      <c r="N79" s="5"/>
      <c r="O79" s="5"/>
      <c r="P79" s="5"/>
      <c r="Q79" s="5"/>
    </row>
    <row r="80" spans="1:17" ht="14.25" customHeight="1" thickTop="1">
      <c r="A80" s="424"/>
      <c r="B80" s="424"/>
      <c r="C80" s="425"/>
      <c r="D80" s="424"/>
      <c r="E80" s="424"/>
      <c r="F80" s="424"/>
      <c r="G80" s="424"/>
      <c r="H80" s="250"/>
      <c r="I80" s="5"/>
      <c r="J80" s="5"/>
      <c r="K80" s="5"/>
      <c r="L80" s="5"/>
      <c r="M80" s="5"/>
      <c r="N80" s="5"/>
      <c r="O80" s="5"/>
      <c r="P80" s="5"/>
      <c r="Q80" s="5"/>
    </row>
    <row r="81" spans="1:24" ht="14.25" customHeight="1">
      <c r="A81" s="424"/>
      <c r="B81" s="424"/>
      <c r="C81" s="425"/>
      <c r="D81" s="424"/>
      <c r="E81" s="424"/>
      <c r="F81" s="424"/>
      <c r="G81" s="424"/>
      <c r="H81" s="250"/>
      <c r="I81" s="5"/>
      <c r="J81" s="5"/>
      <c r="K81" s="5"/>
      <c r="L81" s="5"/>
      <c r="M81" s="5"/>
      <c r="N81" s="5"/>
      <c r="O81" s="5"/>
      <c r="P81" s="5"/>
      <c r="Q81" s="5"/>
    </row>
    <row r="82" spans="1:24" ht="14.25" customHeight="1">
      <c r="A82" s="424"/>
      <c r="B82" s="424"/>
      <c r="C82" s="425"/>
      <c r="D82" s="424"/>
      <c r="E82" s="424"/>
      <c r="F82" s="424"/>
      <c r="G82" s="424"/>
      <c r="H82" s="250"/>
      <c r="I82" s="5"/>
      <c r="J82" s="5"/>
      <c r="K82" s="5"/>
      <c r="L82" s="5"/>
      <c r="M82" s="5"/>
      <c r="N82" s="5"/>
      <c r="O82" s="5"/>
      <c r="P82" s="5"/>
      <c r="Q82" s="5"/>
    </row>
    <row r="83" spans="1:24" ht="14.25" customHeight="1">
      <c r="A83" s="424"/>
      <c r="B83" s="424"/>
      <c r="C83" s="425"/>
      <c r="D83" s="424"/>
      <c r="E83" s="424"/>
      <c r="F83" s="424"/>
      <c r="G83" s="424"/>
      <c r="H83" s="250"/>
      <c r="I83" s="5"/>
      <c r="J83" s="5"/>
      <c r="K83" s="5"/>
      <c r="L83" s="5"/>
      <c r="M83" s="5"/>
      <c r="N83" s="5"/>
      <c r="O83" s="5"/>
      <c r="P83" s="5"/>
      <c r="Q83" s="5"/>
    </row>
    <row r="84" spans="1:24" ht="14.25" customHeight="1">
      <c r="A84" s="424"/>
      <c r="B84" s="424"/>
      <c r="C84" s="425"/>
      <c r="D84" s="424"/>
      <c r="E84" s="424"/>
      <c r="F84" s="424"/>
      <c r="G84" s="424"/>
      <c r="H84" s="250"/>
      <c r="I84" s="5"/>
      <c r="J84" s="5"/>
      <c r="K84" s="5"/>
      <c r="L84" s="5"/>
      <c r="M84" s="5"/>
      <c r="N84" s="5"/>
      <c r="O84" s="5"/>
      <c r="P84" s="5"/>
      <c r="Q84" s="5"/>
    </row>
    <row r="85" spans="1:24" ht="17.55" customHeight="1">
      <c r="A85" s="541" t="s">
        <v>287</v>
      </c>
      <c r="B85" s="541"/>
      <c r="C85" s="541"/>
      <c r="D85" s="541"/>
      <c r="E85" s="541"/>
      <c r="F85" s="541"/>
      <c r="G85" s="541"/>
      <c r="H85" s="250">
        <f>SUM(H93:H124)</f>
        <v>0</v>
      </c>
      <c r="I85" s="5"/>
      <c r="J85" s="5"/>
      <c r="K85" s="5"/>
      <c r="L85" s="5"/>
      <c r="M85" s="5"/>
      <c r="N85" s="5"/>
      <c r="O85" s="5"/>
      <c r="P85" s="5"/>
      <c r="Q85" s="5"/>
    </row>
    <row r="86" spans="1:24" ht="8.5500000000000007" customHeight="1">
      <c r="A86" s="72"/>
      <c r="B86" s="72"/>
      <c r="C86" s="72"/>
      <c r="D86" s="72"/>
      <c r="E86" s="72"/>
      <c r="F86" s="72"/>
      <c r="G86" s="72"/>
      <c r="H86" s="250"/>
      <c r="I86" s="5"/>
      <c r="J86" s="5"/>
      <c r="K86" s="5"/>
      <c r="L86" s="5"/>
      <c r="M86" s="5"/>
      <c r="N86" s="5"/>
      <c r="O86" s="5"/>
      <c r="P86" s="5"/>
      <c r="Q86" s="5"/>
    </row>
    <row r="87" spans="1:24" s="428" customFormat="1" ht="22.5" customHeight="1">
      <c r="A87" s="593" t="s">
        <v>26</v>
      </c>
      <c r="B87" s="593"/>
      <c r="C87" s="593"/>
      <c r="D87" s="593"/>
      <c r="E87" s="593"/>
      <c r="F87" s="593"/>
      <c r="G87" s="593"/>
      <c r="H87" s="426">
        <f>G104</f>
        <v>0</v>
      </c>
      <c r="I87" s="427"/>
      <c r="J87" s="427"/>
      <c r="K87" s="427"/>
      <c r="L87" s="427"/>
      <c r="M87" s="427"/>
      <c r="N87" s="427"/>
      <c r="O87" s="427"/>
      <c r="P87" s="427"/>
      <c r="Q87" s="427"/>
    </row>
    <row r="88" spans="1:24">
      <c r="A88" s="544"/>
      <c r="B88" s="544"/>
      <c r="C88" s="544"/>
      <c r="D88" s="544"/>
      <c r="E88" s="544"/>
      <c r="F88" s="544"/>
      <c r="G88" s="544"/>
      <c r="H88" s="249">
        <f>G104</f>
        <v>0</v>
      </c>
      <c r="I88" s="5"/>
      <c r="J88" s="5"/>
      <c r="K88" s="5"/>
      <c r="L88" s="5"/>
      <c r="M88" s="5"/>
      <c r="N88" s="5"/>
      <c r="O88" s="5"/>
      <c r="P88" s="5"/>
      <c r="Q88" s="5"/>
    </row>
    <row r="89" spans="1:24" ht="11.25" customHeight="1" thickBot="1">
      <c r="A89" s="16"/>
      <c r="B89" s="15"/>
      <c r="C89" s="15"/>
      <c r="D89" s="15"/>
      <c r="E89" s="15"/>
      <c r="F89" s="15"/>
      <c r="G89" s="15"/>
      <c r="H89" s="249">
        <f>G104</f>
        <v>0</v>
      </c>
      <c r="I89" s="5"/>
      <c r="J89" s="5"/>
      <c r="K89" s="5"/>
      <c r="L89" s="5"/>
      <c r="M89" s="5"/>
      <c r="N89" s="5"/>
      <c r="O89" s="5"/>
      <c r="P89" s="5"/>
      <c r="Q89" s="5"/>
    </row>
    <row r="90" spans="1:24" ht="18.75" customHeight="1" thickTop="1">
      <c r="A90" s="6" t="s">
        <v>1</v>
      </c>
      <c r="B90" s="518" t="s">
        <v>3</v>
      </c>
      <c r="C90" s="518" t="s">
        <v>4</v>
      </c>
      <c r="D90" s="518" t="s">
        <v>5</v>
      </c>
      <c r="E90" s="518" t="s">
        <v>6</v>
      </c>
      <c r="F90" s="7" t="s">
        <v>7</v>
      </c>
      <c r="G90" s="8" t="s">
        <v>9</v>
      </c>
      <c r="H90" s="249">
        <f>G104</f>
        <v>0</v>
      </c>
      <c r="I90" s="5"/>
      <c r="J90" s="5"/>
      <c r="K90" s="5"/>
      <c r="L90" s="5"/>
      <c r="M90" s="5"/>
      <c r="N90" s="5"/>
      <c r="O90" s="5"/>
      <c r="P90" s="5"/>
      <c r="Q90" s="5"/>
    </row>
    <row r="91" spans="1:24" ht="24" customHeight="1" thickBot="1">
      <c r="A91" s="17" t="s">
        <v>2</v>
      </c>
      <c r="B91" s="527"/>
      <c r="C91" s="527"/>
      <c r="D91" s="527"/>
      <c r="E91" s="527"/>
      <c r="F91" s="18" t="s">
        <v>8</v>
      </c>
      <c r="G91" s="19" t="s">
        <v>8</v>
      </c>
      <c r="H91" s="249">
        <f>G104</f>
        <v>0</v>
      </c>
      <c r="I91" s="5"/>
      <c r="J91" s="5"/>
      <c r="K91" s="5"/>
      <c r="L91" s="5"/>
      <c r="M91" s="5"/>
      <c r="N91" s="5"/>
      <c r="O91" s="5"/>
      <c r="P91" s="5"/>
      <c r="Q91" s="5"/>
    </row>
    <row r="92" spans="1:24" ht="18" customHeight="1" thickTop="1" thickBot="1">
      <c r="A92" s="571" t="s">
        <v>27</v>
      </c>
      <c r="B92" s="578"/>
      <c r="C92" s="578"/>
      <c r="D92" s="165"/>
      <c r="E92" s="165"/>
      <c r="F92" s="165"/>
      <c r="G92" s="153"/>
      <c r="H92" s="248">
        <f>SUM(H93:H95)</f>
        <v>0</v>
      </c>
      <c r="I92" s="5"/>
      <c r="J92" s="5"/>
      <c r="K92" s="5"/>
      <c r="L92" s="5"/>
      <c r="M92" s="5"/>
      <c r="N92" s="5"/>
      <c r="O92" s="5"/>
      <c r="P92" s="5"/>
      <c r="Q92" s="5"/>
      <c r="S92" s="5"/>
      <c r="T92" s="5"/>
      <c r="U92" s="5"/>
      <c r="V92" s="5"/>
      <c r="W92" s="5"/>
      <c r="X92" s="5"/>
    </row>
    <row r="93" spans="1:24" ht="28.05" customHeight="1" thickTop="1" thickBot="1">
      <c r="A93" s="12"/>
      <c r="B93" s="3" t="s">
        <v>28</v>
      </c>
      <c r="C93" s="13" t="s">
        <v>182</v>
      </c>
      <c r="D93" s="3" t="s">
        <v>11</v>
      </c>
      <c r="E93" s="3">
        <f>'CalculSpeeTile10+SpeeTherm15-30'!K22</f>
        <v>0</v>
      </c>
      <c r="F93" s="429">
        <v>179</v>
      </c>
      <c r="G93" s="33">
        <f>E93*F93</f>
        <v>0</v>
      </c>
      <c r="H93" s="248">
        <f>E93</f>
        <v>0</v>
      </c>
      <c r="I93" s="5"/>
      <c r="J93" s="5"/>
      <c r="K93" s="5"/>
      <c r="L93" s="5"/>
      <c r="M93" s="5"/>
      <c r="N93" s="5"/>
      <c r="O93" s="5"/>
      <c r="P93" s="5"/>
      <c r="Q93" s="5"/>
    </row>
    <row r="94" spans="1:24" ht="16.05" customHeight="1" thickBot="1">
      <c r="A94" s="12"/>
      <c r="B94" s="3" t="s">
        <v>29</v>
      </c>
      <c r="C94" s="13" t="s">
        <v>30</v>
      </c>
      <c r="D94" s="3" t="s">
        <v>11</v>
      </c>
      <c r="E94" s="3">
        <f>'CalculSpeeTile10+SpeeTherm15-30'!H24</f>
        <v>0</v>
      </c>
      <c r="F94" s="429">
        <v>17</v>
      </c>
      <c r="G94" s="33">
        <f t="shared" ref="G94:G99" si="11">E94*F94</f>
        <v>0</v>
      </c>
      <c r="H94" s="248">
        <f t="shared" ref="H94:H99" si="12">E94</f>
        <v>0</v>
      </c>
      <c r="I94" s="5"/>
      <c r="J94" s="5"/>
      <c r="K94" s="5"/>
      <c r="L94" s="5"/>
      <c r="M94" s="5"/>
      <c r="N94" s="5"/>
      <c r="O94" s="5"/>
      <c r="P94" s="5"/>
      <c r="Q94" s="5"/>
    </row>
    <row r="95" spans="1:24" ht="16.05" customHeight="1" thickBot="1">
      <c r="A95" s="35"/>
      <c r="B95" s="40" t="s">
        <v>31</v>
      </c>
      <c r="C95" s="37" t="s">
        <v>183</v>
      </c>
      <c r="D95" s="40" t="s">
        <v>11</v>
      </c>
      <c r="E95" s="40">
        <f>IF(OR('CalculSpeeTile10+SpeeTherm15-30'!J22=0),0,'CalculSpeeTile10+SpeeTherm15-30'!J22-1)</f>
        <v>0</v>
      </c>
      <c r="F95" s="430">
        <v>41</v>
      </c>
      <c r="G95" s="38">
        <f t="shared" si="11"/>
        <v>0</v>
      </c>
      <c r="H95" s="248">
        <f t="shared" si="12"/>
        <v>0</v>
      </c>
      <c r="I95" s="5"/>
      <c r="J95" s="5"/>
      <c r="K95" s="5"/>
      <c r="L95" s="5"/>
      <c r="M95" s="5"/>
      <c r="N95" s="5"/>
      <c r="O95" s="5"/>
      <c r="P95" s="5"/>
      <c r="Q95" s="5"/>
    </row>
    <row r="96" spans="1:24" ht="16.05" customHeight="1" thickTop="1" thickBot="1">
      <c r="A96" s="571" t="s">
        <v>326</v>
      </c>
      <c r="B96" s="572"/>
      <c r="C96" s="572"/>
      <c r="D96" s="165"/>
      <c r="E96" s="165"/>
      <c r="F96" s="165"/>
      <c r="G96" s="166"/>
      <c r="H96" s="248">
        <f>SUM(H97:H99)</f>
        <v>0</v>
      </c>
      <c r="I96" s="5"/>
      <c r="J96" s="5"/>
      <c r="K96" s="5"/>
      <c r="L96" s="5"/>
      <c r="M96" s="5"/>
      <c r="N96" s="5"/>
      <c r="O96" s="5"/>
      <c r="P96" s="5"/>
      <c r="Q96" s="5"/>
    </row>
    <row r="97" spans="1:17" ht="28.05" customHeight="1" thickTop="1" thickBot="1">
      <c r="A97" s="12"/>
      <c r="B97" s="3" t="s">
        <v>28</v>
      </c>
      <c r="C97" s="13" t="s">
        <v>182</v>
      </c>
      <c r="D97" s="3" t="s">
        <v>11</v>
      </c>
      <c r="E97" s="3">
        <f>'CalculSpeeTile10+SpeeTherm15-30'!V22</f>
        <v>0</v>
      </c>
      <c r="F97" s="429">
        <v>170</v>
      </c>
      <c r="G97" s="33">
        <f t="shared" si="11"/>
        <v>0</v>
      </c>
      <c r="H97" s="248">
        <f t="shared" si="12"/>
        <v>0</v>
      </c>
      <c r="I97" s="5"/>
      <c r="J97" s="5"/>
      <c r="K97" s="5"/>
      <c r="L97" s="5"/>
      <c r="M97" s="5"/>
      <c r="N97" s="5"/>
      <c r="O97" s="5"/>
      <c r="P97" s="5"/>
      <c r="Q97" s="5"/>
    </row>
    <row r="98" spans="1:17" ht="16.05" customHeight="1" thickBot="1">
      <c r="A98" s="12"/>
      <c r="B98" s="3" t="s">
        <v>29</v>
      </c>
      <c r="C98" s="13" t="s">
        <v>30</v>
      </c>
      <c r="D98" s="3" t="s">
        <v>11</v>
      </c>
      <c r="E98" s="3">
        <f>'CalculSpeeTile10+SpeeTherm15-30'!S24</f>
        <v>0</v>
      </c>
      <c r="F98" s="429">
        <v>17</v>
      </c>
      <c r="G98" s="33">
        <f t="shared" si="11"/>
        <v>0</v>
      </c>
      <c r="H98" s="248">
        <f t="shared" si="12"/>
        <v>0</v>
      </c>
      <c r="I98" s="5"/>
      <c r="J98" s="5"/>
      <c r="K98" s="5"/>
      <c r="L98" s="5"/>
      <c r="M98" s="5"/>
      <c r="N98" s="5"/>
      <c r="O98" s="5"/>
      <c r="P98" s="5"/>
      <c r="Q98" s="5"/>
    </row>
    <row r="99" spans="1:17" ht="16.05" customHeight="1" thickBot="1">
      <c r="A99" s="161"/>
      <c r="B99" s="162" t="s">
        <v>31</v>
      </c>
      <c r="C99" s="163" t="s">
        <v>183</v>
      </c>
      <c r="D99" s="162" t="s">
        <v>11</v>
      </c>
      <c r="E99" s="162">
        <f>IF(OR('CalculSpeeTile10+SpeeTherm15-30'!U22=0),0,'CalculSpeeTile10+SpeeTherm15-30'!U22-1)</f>
        <v>0</v>
      </c>
      <c r="F99" s="431">
        <v>41</v>
      </c>
      <c r="G99" s="164">
        <f t="shared" si="11"/>
        <v>0</v>
      </c>
      <c r="H99" s="248">
        <f t="shared" si="12"/>
        <v>0</v>
      </c>
      <c r="I99" s="5"/>
      <c r="J99" s="5"/>
      <c r="K99" s="5"/>
      <c r="L99" s="5"/>
      <c r="M99" s="5"/>
      <c r="N99" s="5"/>
      <c r="O99" s="5"/>
      <c r="P99" s="5"/>
      <c r="Q99" s="5"/>
    </row>
    <row r="100" spans="1:17" ht="16.05" customHeight="1" thickTop="1" thickBot="1">
      <c r="A100" s="571" t="s">
        <v>32</v>
      </c>
      <c r="B100" s="572"/>
      <c r="C100" s="572"/>
      <c r="D100" s="165"/>
      <c r="E100" s="165"/>
      <c r="F100" s="165"/>
      <c r="G100" s="166"/>
      <c r="H100" s="248">
        <f>SUM(H101:H103)</f>
        <v>0</v>
      </c>
      <c r="I100" s="5"/>
      <c r="J100" s="5"/>
      <c r="K100" s="5"/>
      <c r="L100" s="5"/>
      <c r="M100" s="5"/>
      <c r="N100" s="5"/>
      <c r="O100" s="5"/>
      <c r="P100" s="5"/>
      <c r="Q100" s="5"/>
    </row>
    <row r="101" spans="1:17" ht="25.5" customHeight="1" thickTop="1" thickBot="1">
      <c r="A101" s="12"/>
      <c r="B101" s="3" t="s">
        <v>28</v>
      </c>
      <c r="C101" s="13" t="s">
        <v>182</v>
      </c>
      <c r="D101" s="3" t="s">
        <v>11</v>
      </c>
      <c r="E101" s="3">
        <f>'CalculSpeeTile10+SpeeTherm15-30'!AG22</f>
        <v>0</v>
      </c>
      <c r="F101" s="429">
        <v>170</v>
      </c>
      <c r="G101" s="33">
        <f t="shared" ref="G101:G103" si="13">E101*F101</f>
        <v>0</v>
      </c>
      <c r="H101" s="248">
        <f t="shared" ref="H101:H103" si="14">E101</f>
        <v>0</v>
      </c>
      <c r="I101" s="5"/>
      <c r="J101" s="5"/>
      <c r="K101" s="5"/>
      <c r="L101" s="5"/>
      <c r="M101" s="5"/>
      <c r="N101" s="5"/>
      <c r="O101" s="5"/>
      <c r="P101" s="5"/>
      <c r="Q101" s="5"/>
    </row>
    <row r="102" spans="1:17" ht="16.05" customHeight="1" thickBot="1">
      <c r="A102" s="12"/>
      <c r="B102" s="3" t="s">
        <v>29</v>
      </c>
      <c r="C102" s="13" t="s">
        <v>30</v>
      </c>
      <c r="D102" s="3" t="s">
        <v>11</v>
      </c>
      <c r="E102" s="3">
        <f>'CalculSpeeTile10+SpeeTherm15-30'!AD24</f>
        <v>0</v>
      </c>
      <c r="F102" s="429">
        <v>17</v>
      </c>
      <c r="G102" s="33">
        <f t="shared" si="13"/>
        <v>0</v>
      </c>
      <c r="H102" s="248">
        <f t="shared" si="14"/>
        <v>0</v>
      </c>
      <c r="I102" s="5"/>
      <c r="J102" s="5"/>
      <c r="K102" s="5"/>
      <c r="L102" s="5"/>
      <c r="M102" s="5"/>
      <c r="N102" s="5"/>
      <c r="O102" s="5"/>
      <c r="P102" s="5"/>
      <c r="Q102" s="5"/>
    </row>
    <row r="103" spans="1:17" ht="16.05" customHeight="1" thickBot="1">
      <c r="A103" s="161"/>
      <c r="B103" s="162" t="s">
        <v>31</v>
      </c>
      <c r="C103" s="163" t="s">
        <v>183</v>
      </c>
      <c r="D103" s="162" t="s">
        <v>11</v>
      </c>
      <c r="E103" s="162">
        <f>IF(OR('CalculSpeeTile10+SpeeTherm15-30'!AF22=0),0,'CalculSpeeTile10+SpeeTherm15-30'!AF22-1)</f>
        <v>0</v>
      </c>
      <c r="F103" s="431">
        <v>41</v>
      </c>
      <c r="G103" s="164">
        <f t="shared" si="13"/>
        <v>0</v>
      </c>
      <c r="H103" s="248">
        <f t="shared" si="14"/>
        <v>0</v>
      </c>
      <c r="I103" s="5"/>
      <c r="J103" s="5"/>
      <c r="K103" s="5"/>
      <c r="L103" s="5"/>
      <c r="M103" s="5"/>
      <c r="N103" s="5"/>
      <c r="O103" s="5"/>
      <c r="P103" s="5"/>
      <c r="Q103" s="5"/>
    </row>
    <row r="104" spans="1:17" ht="18" customHeight="1" thickTop="1" thickBot="1">
      <c r="A104" s="522" t="s">
        <v>25</v>
      </c>
      <c r="B104" s="523"/>
      <c r="C104" s="523"/>
      <c r="D104" s="523"/>
      <c r="E104" s="523"/>
      <c r="F104" s="523"/>
      <c r="G104" s="96">
        <f>SUM(G93:G103)</f>
        <v>0</v>
      </c>
      <c r="H104" s="251">
        <f>G104</f>
        <v>0</v>
      </c>
      <c r="I104" s="5"/>
      <c r="J104" s="5"/>
      <c r="K104" s="5"/>
      <c r="L104" s="5"/>
      <c r="M104" s="5"/>
      <c r="N104" s="5"/>
      <c r="O104" s="5"/>
      <c r="P104" s="5"/>
      <c r="Q104" s="5"/>
    </row>
    <row r="105" spans="1:17" ht="18" customHeight="1" thickTop="1" thickBot="1">
      <c r="A105" s="522" t="s">
        <v>157</v>
      </c>
      <c r="B105" s="523"/>
      <c r="C105" s="523"/>
      <c r="D105" s="523"/>
      <c r="E105" s="47">
        <v>0.05</v>
      </c>
      <c r="F105" s="42"/>
      <c r="G105" s="97">
        <f>G104*(1-E105)</f>
        <v>0</v>
      </c>
      <c r="H105" s="251">
        <f t="shared" ref="H105:H106" si="15">G105</f>
        <v>0</v>
      </c>
      <c r="I105" s="5"/>
      <c r="J105" s="5"/>
      <c r="K105" s="5"/>
      <c r="L105" s="5"/>
      <c r="M105" s="5"/>
      <c r="N105" s="5"/>
      <c r="O105" s="5"/>
      <c r="P105" s="5"/>
      <c r="Q105" s="5"/>
    </row>
    <row r="106" spans="1:17" ht="18" customHeight="1" thickTop="1" thickBot="1">
      <c r="A106" s="547" t="s">
        <v>143</v>
      </c>
      <c r="B106" s="548"/>
      <c r="C106" s="548"/>
      <c r="D106" s="548"/>
      <c r="E106" s="548"/>
      <c r="F106" s="548"/>
      <c r="G106" s="99">
        <f>G105*1.21</f>
        <v>0</v>
      </c>
      <c r="H106" s="251">
        <f t="shared" si="15"/>
        <v>0</v>
      </c>
      <c r="I106" s="5"/>
      <c r="J106" s="5"/>
      <c r="K106" s="5"/>
      <c r="L106" s="5"/>
      <c r="M106" s="5"/>
      <c r="N106" s="5"/>
      <c r="O106" s="5"/>
      <c r="P106" s="5"/>
      <c r="Q106" s="5"/>
    </row>
    <row r="107" spans="1:17" ht="5.55" customHeight="1" thickTop="1">
      <c r="A107" s="14"/>
      <c r="B107" s="15"/>
      <c r="C107" s="15"/>
      <c r="D107" s="15"/>
      <c r="E107" s="15"/>
      <c r="F107" s="15"/>
      <c r="G107" s="15"/>
      <c r="H107" s="251">
        <f>G125</f>
        <v>0</v>
      </c>
      <c r="I107" s="5"/>
      <c r="J107" s="5"/>
      <c r="K107" s="5"/>
      <c r="L107" s="5"/>
      <c r="M107" s="5"/>
      <c r="N107" s="5"/>
      <c r="O107" s="5"/>
      <c r="P107" s="5"/>
      <c r="Q107" s="5"/>
    </row>
    <row r="108" spans="1:17" ht="18" customHeight="1">
      <c r="A108" s="593" t="s">
        <v>178</v>
      </c>
      <c r="B108" s="593"/>
      <c r="C108" s="593"/>
      <c r="D108" s="593"/>
      <c r="E108" s="593"/>
      <c r="F108" s="593"/>
      <c r="G108" s="593"/>
      <c r="H108" s="251">
        <f>G125</f>
        <v>0</v>
      </c>
      <c r="I108" s="5"/>
      <c r="J108" s="5"/>
      <c r="K108" s="5"/>
      <c r="L108" s="5"/>
      <c r="M108" s="5"/>
      <c r="N108" s="5"/>
      <c r="O108" s="5"/>
      <c r="P108" s="5"/>
      <c r="Q108" s="5"/>
    </row>
    <row r="109" spans="1:17" ht="16.05" customHeight="1">
      <c r="A109" s="544"/>
      <c r="B109" s="544"/>
      <c r="C109" s="544"/>
      <c r="D109" s="544"/>
      <c r="E109" s="544"/>
      <c r="F109" s="544"/>
      <c r="G109" s="544"/>
      <c r="H109" s="251">
        <f>G125</f>
        <v>0</v>
      </c>
      <c r="I109" s="5"/>
      <c r="J109" s="5"/>
      <c r="K109" s="5"/>
      <c r="L109" s="5"/>
      <c r="M109" s="5"/>
      <c r="N109" s="5"/>
      <c r="O109" s="5"/>
      <c r="P109" s="5"/>
      <c r="Q109" s="5"/>
    </row>
    <row r="110" spans="1:17" ht="19.5" customHeight="1" thickBot="1">
      <c r="A110" s="16"/>
      <c r="B110" s="15"/>
      <c r="C110" s="15"/>
      <c r="D110" s="15"/>
      <c r="E110" s="15"/>
      <c r="F110" s="15"/>
      <c r="G110" s="15"/>
      <c r="H110" s="251">
        <f>G125</f>
        <v>0</v>
      </c>
      <c r="I110" s="5"/>
      <c r="J110" s="5"/>
      <c r="K110" s="5"/>
      <c r="L110" s="5"/>
      <c r="M110" s="5"/>
      <c r="N110" s="5"/>
      <c r="O110" s="5"/>
      <c r="P110" s="5"/>
      <c r="Q110" s="5"/>
    </row>
    <row r="111" spans="1:17" ht="18" customHeight="1" thickTop="1">
      <c r="A111" s="6" t="s">
        <v>1</v>
      </c>
      <c r="B111" s="518" t="s">
        <v>3</v>
      </c>
      <c r="C111" s="518" t="s">
        <v>4</v>
      </c>
      <c r="D111" s="518" t="s">
        <v>5</v>
      </c>
      <c r="E111" s="518" t="s">
        <v>6</v>
      </c>
      <c r="F111" s="7" t="s">
        <v>7</v>
      </c>
      <c r="G111" s="8" t="s">
        <v>9</v>
      </c>
      <c r="H111" s="251">
        <f>G125</f>
        <v>0</v>
      </c>
      <c r="I111" s="5"/>
      <c r="J111" s="5"/>
      <c r="K111" s="5"/>
      <c r="L111" s="5"/>
      <c r="M111" s="5"/>
      <c r="N111" s="5"/>
      <c r="O111" s="5"/>
      <c r="P111" s="5"/>
      <c r="Q111" s="5"/>
    </row>
    <row r="112" spans="1:17" ht="22.95" customHeight="1" thickBot="1">
      <c r="A112" s="17" t="s">
        <v>2</v>
      </c>
      <c r="B112" s="519"/>
      <c r="C112" s="519"/>
      <c r="D112" s="519"/>
      <c r="E112" s="519"/>
      <c r="F112" s="18" t="s">
        <v>8</v>
      </c>
      <c r="G112" s="19" t="s">
        <v>8</v>
      </c>
      <c r="H112" s="251">
        <f>G125</f>
        <v>0</v>
      </c>
      <c r="I112" s="5"/>
      <c r="J112" s="5"/>
      <c r="K112" s="5"/>
      <c r="L112" s="5"/>
      <c r="M112" s="5"/>
      <c r="N112" s="5"/>
      <c r="O112" s="5"/>
      <c r="P112" s="5"/>
      <c r="Q112" s="5"/>
    </row>
    <row r="113" spans="1:17" ht="16.05" customHeight="1" thickTop="1" thickBot="1">
      <c r="A113" s="571" t="s">
        <v>27</v>
      </c>
      <c r="B113" s="572"/>
      <c r="C113" s="572"/>
      <c r="D113" s="165"/>
      <c r="E113" s="165"/>
      <c r="F113" s="165"/>
      <c r="G113" s="153"/>
      <c r="H113" s="248">
        <f>SUM(H114:H116)</f>
        <v>0</v>
      </c>
      <c r="I113" s="5"/>
      <c r="J113" s="5"/>
      <c r="K113" s="5"/>
      <c r="L113" s="5"/>
      <c r="M113" s="5"/>
      <c r="N113" s="5"/>
      <c r="O113" s="5"/>
      <c r="P113" s="5"/>
      <c r="Q113" s="5"/>
    </row>
    <row r="114" spans="1:17" ht="28.05" customHeight="1" thickTop="1" thickBot="1">
      <c r="A114" s="12"/>
      <c r="B114" s="3" t="s">
        <v>376</v>
      </c>
      <c r="C114" s="13" t="s">
        <v>379</v>
      </c>
      <c r="D114" s="3" t="s">
        <v>11</v>
      </c>
      <c r="E114" s="3">
        <f>'CalculSpeeTile10+SpeeTherm15-30'!K22</f>
        <v>0</v>
      </c>
      <c r="F114" s="150">
        <v>229</v>
      </c>
      <c r="G114" s="33">
        <f>E114*F114</f>
        <v>0</v>
      </c>
      <c r="H114" s="248">
        <f>E114</f>
        <v>0</v>
      </c>
      <c r="I114" s="5"/>
      <c r="J114" s="5"/>
      <c r="K114" s="5"/>
      <c r="L114" s="5"/>
      <c r="M114" s="5"/>
      <c r="N114" s="5"/>
      <c r="O114" s="5"/>
      <c r="P114" s="5"/>
      <c r="Q114" s="5"/>
    </row>
    <row r="115" spans="1:17" ht="16.05" customHeight="1" thickBot="1">
      <c r="A115" s="12"/>
      <c r="B115" s="3" t="s">
        <v>29</v>
      </c>
      <c r="C115" s="13" t="s">
        <v>30</v>
      </c>
      <c r="D115" s="3" t="s">
        <v>11</v>
      </c>
      <c r="E115" s="3">
        <f>'CalculSpeeTile10+SpeeTherm15-30'!H24</f>
        <v>0</v>
      </c>
      <c r="F115" s="150">
        <v>17</v>
      </c>
      <c r="G115" s="33">
        <f t="shared" ref="G115:G124" si="16">E115*F115</f>
        <v>0</v>
      </c>
      <c r="H115" s="248">
        <f t="shared" ref="H115:H116" si="17">E115</f>
        <v>0</v>
      </c>
      <c r="I115" s="5"/>
      <c r="J115" s="5"/>
      <c r="K115" s="5"/>
      <c r="L115" s="5"/>
      <c r="M115" s="5"/>
      <c r="N115" s="5"/>
      <c r="O115" s="5"/>
      <c r="P115" s="5"/>
      <c r="Q115" s="5"/>
    </row>
    <row r="116" spans="1:17" ht="16.05" customHeight="1" thickBot="1">
      <c r="A116" s="35"/>
      <c r="B116" s="40" t="s">
        <v>377</v>
      </c>
      <c r="C116" s="37" t="s">
        <v>378</v>
      </c>
      <c r="D116" s="40" t="s">
        <v>11</v>
      </c>
      <c r="E116" s="40">
        <f>'CalculSpeeTile10+SpeeTherm15-30'!J22</f>
        <v>0</v>
      </c>
      <c r="F116" s="432">
        <v>63</v>
      </c>
      <c r="G116" s="38">
        <f t="shared" si="16"/>
        <v>0</v>
      </c>
      <c r="H116" s="248">
        <f t="shared" si="17"/>
        <v>0</v>
      </c>
      <c r="I116" s="5"/>
      <c r="J116" s="5"/>
      <c r="K116" s="5"/>
      <c r="L116" s="5"/>
      <c r="M116" s="5"/>
      <c r="N116" s="5"/>
      <c r="O116" s="5"/>
      <c r="P116" s="5"/>
      <c r="Q116" s="5"/>
    </row>
    <row r="117" spans="1:17" ht="16.05" customHeight="1" thickTop="1" thickBot="1">
      <c r="A117" s="571" t="s">
        <v>326</v>
      </c>
      <c r="B117" s="572"/>
      <c r="C117" s="572"/>
      <c r="D117" s="165"/>
      <c r="E117" s="165"/>
      <c r="F117" s="165"/>
      <c r="G117" s="166"/>
      <c r="H117" s="248">
        <f>SUM(H118:H120)</f>
        <v>0</v>
      </c>
      <c r="I117" s="5"/>
      <c r="J117" s="5"/>
      <c r="K117" s="5"/>
      <c r="L117" s="5"/>
      <c r="M117" s="5"/>
      <c r="N117" s="5"/>
      <c r="O117" s="5"/>
      <c r="P117" s="5"/>
      <c r="Q117" s="5"/>
    </row>
    <row r="118" spans="1:17" ht="28.05" customHeight="1" thickTop="1" thickBot="1">
      <c r="A118" s="12"/>
      <c r="B118" s="3" t="s">
        <v>376</v>
      </c>
      <c r="C118" s="13" t="s">
        <v>379</v>
      </c>
      <c r="D118" s="3" t="s">
        <v>11</v>
      </c>
      <c r="E118" s="3">
        <f>'CalculSpeeTile10+SpeeTherm15-30'!V22</f>
        <v>0</v>
      </c>
      <c r="F118" s="429">
        <v>229</v>
      </c>
      <c r="G118" s="33">
        <f t="shared" ref="G118:G120" si="18">E118*F118</f>
        <v>0</v>
      </c>
      <c r="H118" s="248">
        <f t="shared" ref="H118:H120" si="19">E118</f>
        <v>0</v>
      </c>
      <c r="I118" s="5"/>
      <c r="J118" s="5"/>
      <c r="K118" s="5"/>
      <c r="L118" s="5"/>
      <c r="M118" s="5"/>
      <c r="N118" s="5"/>
      <c r="O118" s="5"/>
      <c r="P118" s="5"/>
      <c r="Q118" s="5"/>
    </row>
    <row r="119" spans="1:17" ht="16.05" customHeight="1" thickBot="1">
      <c r="A119" s="12"/>
      <c r="B119" s="3" t="s">
        <v>29</v>
      </c>
      <c r="C119" s="13" t="s">
        <v>30</v>
      </c>
      <c r="D119" s="3" t="s">
        <v>11</v>
      </c>
      <c r="E119" s="3">
        <f>'CalculSpeeTile10+SpeeTherm15-30'!S24</f>
        <v>0</v>
      </c>
      <c r="F119" s="150">
        <v>17</v>
      </c>
      <c r="G119" s="33">
        <f t="shared" si="18"/>
        <v>0</v>
      </c>
      <c r="H119" s="248">
        <f t="shared" si="19"/>
        <v>0</v>
      </c>
      <c r="I119" s="5"/>
      <c r="J119" s="5"/>
      <c r="K119" s="5"/>
      <c r="L119" s="5"/>
      <c r="M119" s="5"/>
      <c r="N119" s="5"/>
      <c r="O119" s="5"/>
      <c r="P119" s="5"/>
      <c r="Q119" s="5"/>
    </row>
    <row r="120" spans="1:17" ht="18" customHeight="1" thickBot="1">
      <c r="A120" s="161"/>
      <c r="B120" s="40" t="s">
        <v>377</v>
      </c>
      <c r="C120" s="163" t="s">
        <v>378</v>
      </c>
      <c r="D120" s="162" t="s">
        <v>11</v>
      </c>
      <c r="E120" s="40">
        <f>'CalculSpeeTile10+SpeeTherm15-30'!U22</f>
        <v>0</v>
      </c>
      <c r="F120" s="432">
        <v>63</v>
      </c>
      <c r="G120" s="164">
        <f t="shared" si="18"/>
        <v>0</v>
      </c>
      <c r="H120" s="248">
        <f t="shared" si="19"/>
        <v>0</v>
      </c>
      <c r="I120" s="5"/>
      <c r="J120" s="5"/>
      <c r="K120" s="5"/>
      <c r="L120" s="5"/>
      <c r="M120" s="5"/>
      <c r="N120" s="5"/>
      <c r="O120" s="5"/>
      <c r="P120" s="5"/>
      <c r="Q120" s="5"/>
    </row>
    <row r="121" spans="1:17" ht="16.05" customHeight="1" thickTop="1" thickBot="1">
      <c r="A121" s="571" t="s">
        <v>32</v>
      </c>
      <c r="B121" s="572"/>
      <c r="C121" s="572"/>
      <c r="D121" s="165"/>
      <c r="E121" s="165"/>
      <c r="F121" s="433"/>
      <c r="G121" s="166"/>
      <c r="H121" s="248">
        <f>SUM(H122:H124)</f>
        <v>0</v>
      </c>
    </row>
    <row r="122" spans="1:17" ht="28.05" customHeight="1" thickTop="1" thickBot="1">
      <c r="A122" s="12"/>
      <c r="B122" s="3" t="s">
        <v>376</v>
      </c>
      <c r="C122" s="13" t="s">
        <v>379</v>
      </c>
      <c r="D122" s="3" t="s">
        <v>11</v>
      </c>
      <c r="E122" s="3">
        <f>'CalculSpeeTile10+SpeeTherm15-30'!AG22</f>
        <v>0</v>
      </c>
      <c r="F122" s="150">
        <v>229</v>
      </c>
      <c r="G122" s="33">
        <f t="shared" si="16"/>
        <v>0</v>
      </c>
      <c r="H122" s="248">
        <f>E122</f>
        <v>0</v>
      </c>
    </row>
    <row r="123" spans="1:17" ht="16.05" customHeight="1" thickBot="1">
      <c r="A123" s="12"/>
      <c r="B123" s="3" t="s">
        <v>29</v>
      </c>
      <c r="C123" s="13" t="s">
        <v>30</v>
      </c>
      <c r="D123" s="3" t="s">
        <v>11</v>
      </c>
      <c r="E123" s="3">
        <f>'CalculSpeeTile10+SpeeTherm15-30'!AD24</f>
        <v>0</v>
      </c>
      <c r="F123" s="150">
        <v>17</v>
      </c>
      <c r="G123" s="33">
        <f t="shared" si="16"/>
        <v>0</v>
      </c>
      <c r="H123" s="248">
        <f t="shared" ref="H123:H124" si="20">E123</f>
        <v>0</v>
      </c>
    </row>
    <row r="124" spans="1:17" ht="16.05" customHeight="1" thickBot="1">
      <c r="A124" s="35"/>
      <c r="B124" s="40" t="s">
        <v>377</v>
      </c>
      <c r="C124" s="37" t="s">
        <v>378</v>
      </c>
      <c r="D124" s="40" t="s">
        <v>11</v>
      </c>
      <c r="E124" s="40">
        <f>'CalculSpeeTile10+SpeeTherm15-30'!AF22</f>
        <v>0</v>
      </c>
      <c r="F124" s="432">
        <v>63</v>
      </c>
      <c r="G124" s="38">
        <f t="shared" si="16"/>
        <v>0</v>
      </c>
      <c r="H124" s="248">
        <f t="shared" si="20"/>
        <v>0</v>
      </c>
    </row>
    <row r="125" spans="1:17" ht="18" customHeight="1" thickTop="1" thickBot="1">
      <c r="A125" s="522" t="s">
        <v>25</v>
      </c>
      <c r="B125" s="523"/>
      <c r="C125" s="523"/>
      <c r="D125" s="523"/>
      <c r="E125" s="523"/>
      <c r="F125" s="577"/>
      <c r="G125" s="96">
        <f>SUM(G114:G124)</f>
        <v>0</v>
      </c>
      <c r="H125" s="251">
        <f>G125</f>
        <v>0</v>
      </c>
    </row>
    <row r="126" spans="1:17" ht="18" customHeight="1" thickTop="1" thickBot="1">
      <c r="A126" s="522" t="s">
        <v>157</v>
      </c>
      <c r="B126" s="523"/>
      <c r="C126" s="523"/>
      <c r="D126" s="523"/>
      <c r="E126" s="47">
        <v>0.05</v>
      </c>
      <c r="F126" s="42"/>
      <c r="G126" s="97">
        <f>G125*(1-E126)</f>
        <v>0</v>
      </c>
      <c r="H126" s="251">
        <f t="shared" ref="H126:H127" si="21">G126</f>
        <v>0</v>
      </c>
    </row>
    <row r="127" spans="1:17" ht="18" customHeight="1" thickTop="1" thickBot="1">
      <c r="A127" s="522" t="s">
        <v>143</v>
      </c>
      <c r="B127" s="523"/>
      <c r="C127" s="523"/>
      <c r="D127" s="523"/>
      <c r="E127" s="523"/>
      <c r="F127" s="577"/>
      <c r="G127" s="98">
        <f>G126*1.21</f>
        <v>0</v>
      </c>
      <c r="H127" s="251">
        <f t="shared" si="21"/>
        <v>0</v>
      </c>
    </row>
    <row r="128" spans="1:17" ht="18.75" customHeight="1" thickTop="1">
      <c r="A128" s="53"/>
      <c r="B128" s="53"/>
      <c r="C128" s="53"/>
      <c r="D128" s="53"/>
      <c r="E128" s="53"/>
      <c r="F128" s="53"/>
      <c r="G128" s="70"/>
      <c r="H128" s="251"/>
    </row>
    <row r="129" spans="1:26" ht="18.75" customHeight="1">
      <c r="A129" s="520" t="s">
        <v>335</v>
      </c>
      <c r="B129" s="521"/>
      <c r="C129" s="521"/>
      <c r="D129" s="521"/>
      <c r="E129" s="521"/>
      <c r="F129" s="521"/>
      <c r="G129" s="521"/>
      <c r="H129" s="251">
        <f>SUM(H131:H135)</f>
        <v>0</v>
      </c>
      <c r="I129" s="576"/>
      <c r="O129" s="552"/>
    </row>
    <row r="130" spans="1:26" ht="15" thickBot="1">
      <c r="A130" s="53"/>
      <c r="B130" s="53"/>
      <c r="C130" s="53"/>
      <c r="D130" s="53"/>
      <c r="E130" s="53"/>
      <c r="F130" s="53"/>
      <c r="G130" s="70"/>
      <c r="H130" s="251"/>
      <c r="I130" s="576"/>
      <c r="O130" s="552"/>
    </row>
    <row r="131" spans="1:26" ht="18" customHeight="1" thickTop="1">
      <c r="A131" s="6" t="s">
        <v>1</v>
      </c>
      <c r="B131" s="518"/>
      <c r="C131" s="518" t="s">
        <v>4</v>
      </c>
      <c r="D131" s="518" t="s">
        <v>5</v>
      </c>
      <c r="E131" s="518" t="s">
        <v>6</v>
      </c>
      <c r="F131" s="7" t="s">
        <v>7</v>
      </c>
      <c r="G131" s="8" t="s">
        <v>9</v>
      </c>
      <c r="H131" s="251">
        <f>G135</f>
        <v>0</v>
      </c>
      <c r="I131" s="576"/>
      <c r="O131" s="552"/>
    </row>
    <row r="132" spans="1:26" ht="18" customHeight="1" thickBot="1">
      <c r="A132" s="9" t="s">
        <v>2</v>
      </c>
      <c r="B132" s="519"/>
      <c r="C132" s="519"/>
      <c r="D132" s="519"/>
      <c r="E132" s="519"/>
      <c r="F132" s="10" t="s">
        <v>330</v>
      </c>
      <c r="G132" s="11" t="s">
        <v>330</v>
      </c>
      <c r="H132" s="251">
        <f>G135</f>
        <v>0</v>
      </c>
      <c r="I132" s="576"/>
      <c r="O132" s="552"/>
    </row>
    <row r="133" spans="1:26" ht="18" customHeight="1" thickTop="1" thickBot="1">
      <c r="A133" s="12"/>
      <c r="B133" s="3"/>
      <c r="C133" s="13" t="s">
        <v>329</v>
      </c>
      <c r="D133" s="3" t="s">
        <v>92</v>
      </c>
      <c r="E133" s="212">
        <f>'CalculSpeeTile10+SpeeTherm15-30'!G20+'CalculSpeeTile10+SpeeTherm15-30'!R20+'CalculSpeeTile10+SpeeTherm15-30'!AC20</f>
        <v>0</v>
      </c>
      <c r="F133" s="150">
        <v>13</v>
      </c>
      <c r="G133" s="33">
        <f>E133*F133</f>
        <v>0</v>
      </c>
      <c r="H133" s="251">
        <f>E133</f>
        <v>0</v>
      </c>
      <c r="I133" s="576"/>
      <c r="O133" s="552"/>
    </row>
    <row r="134" spans="1:26" ht="18" customHeight="1" thickBot="1">
      <c r="A134" s="434"/>
      <c r="B134" s="30"/>
      <c r="C134" s="31" t="s">
        <v>332</v>
      </c>
      <c r="D134" s="30" t="s">
        <v>331</v>
      </c>
      <c r="E134" s="160">
        <f>IF(AND(E93=1, E97=1, E101=1), 3,
IF(OR(AND(E93=1, E97=1), AND(E93=1, E101=1), AND(E97=1, E101=1)), 2,
IF(OR(E93=1, E97=1, E101=1), 1, 0)))</f>
        <v>0</v>
      </c>
      <c r="F134" s="150">
        <v>170</v>
      </c>
      <c r="G134" s="238">
        <f t="shared" ref="G134" si="22">E134*F134</f>
        <v>0</v>
      </c>
      <c r="H134" s="251">
        <f t="shared" ref="H134:H142" si="23">E134</f>
        <v>0</v>
      </c>
      <c r="I134" s="576"/>
      <c r="O134" s="552"/>
    </row>
    <row r="135" spans="1:26" ht="18" customHeight="1" thickTop="1" thickBot="1">
      <c r="A135" s="522" t="s">
        <v>334</v>
      </c>
      <c r="B135" s="523"/>
      <c r="C135" s="523"/>
      <c r="D135" s="523"/>
      <c r="E135" s="523"/>
      <c r="F135" s="523"/>
      <c r="G135" s="98">
        <f>SUM(G133:G134)</f>
        <v>0</v>
      </c>
      <c r="H135" s="251">
        <f>G135</f>
        <v>0</v>
      </c>
      <c r="I135" s="576"/>
      <c r="O135" s="552"/>
    </row>
    <row r="136" spans="1:26" ht="18" customHeight="1" thickTop="1">
      <c r="A136" s="53"/>
      <c r="B136" s="53"/>
      <c r="C136" s="53"/>
      <c r="D136" s="53"/>
      <c r="E136" s="53"/>
      <c r="F136" s="53"/>
      <c r="G136" s="70"/>
      <c r="H136" s="251">
        <f>SUM(H131:H135)</f>
        <v>0</v>
      </c>
      <c r="I136" s="576"/>
      <c r="J136" s="79"/>
      <c r="K136" s="80"/>
      <c r="L136" s="80"/>
      <c r="M136" s="78"/>
      <c r="N136" s="78"/>
      <c r="O136" s="552"/>
      <c r="P136" s="49"/>
      <c r="Q136" s="92"/>
      <c r="R136" s="92"/>
      <c r="S136" s="92"/>
      <c r="T136" s="69"/>
      <c r="U136" s="69"/>
      <c r="V136" s="93"/>
      <c r="W136" s="88"/>
      <c r="X136" s="89"/>
      <c r="Y136" s="89"/>
      <c r="Z136" s="69"/>
    </row>
    <row r="137" spans="1:26" ht="18.75" customHeight="1">
      <c r="A137" s="520" t="s">
        <v>336</v>
      </c>
      <c r="B137" s="521"/>
      <c r="C137" s="521"/>
      <c r="D137" s="521"/>
      <c r="E137" s="521"/>
      <c r="F137" s="521"/>
      <c r="G137" s="521"/>
      <c r="H137" s="251">
        <f>SUM(H139:H143)</f>
        <v>0</v>
      </c>
      <c r="I137" s="576"/>
      <c r="O137" s="552"/>
    </row>
    <row r="138" spans="1:26" ht="15" thickBot="1">
      <c r="A138" s="53"/>
      <c r="B138" s="53"/>
      <c r="C138" s="53"/>
      <c r="D138" s="53"/>
      <c r="E138" s="53"/>
      <c r="F138" s="53"/>
      <c r="G138" s="70"/>
      <c r="H138" s="251">
        <f>G143</f>
        <v>0</v>
      </c>
      <c r="I138" s="576"/>
      <c r="O138" s="552"/>
    </row>
    <row r="139" spans="1:26" ht="18" customHeight="1" thickTop="1">
      <c r="A139" s="6" t="s">
        <v>1</v>
      </c>
      <c r="B139" s="518"/>
      <c r="C139" s="518" t="s">
        <v>4</v>
      </c>
      <c r="D139" s="518" t="s">
        <v>5</v>
      </c>
      <c r="E139" s="518" t="s">
        <v>6</v>
      </c>
      <c r="F139" s="7" t="s">
        <v>7</v>
      </c>
      <c r="G139" s="8" t="s">
        <v>9</v>
      </c>
      <c r="H139" s="251">
        <f>G143</f>
        <v>0</v>
      </c>
      <c r="I139" s="576"/>
      <c r="O139" s="552"/>
    </row>
    <row r="140" spans="1:26" ht="18" customHeight="1" thickBot="1">
      <c r="A140" s="9" t="s">
        <v>2</v>
      </c>
      <c r="B140" s="519"/>
      <c r="C140" s="519"/>
      <c r="D140" s="519"/>
      <c r="E140" s="519"/>
      <c r="F140" s="10" t="s">
        <v>330</v>
      </c>
      <c r="G140" s="11" t="s">
        <v>330</v>
      </c>
      <c r="H140" s="251">
        <f>G143</f>
        <v>0</v>
      </c>
      <c r="I140" s="576"/>
      <c r="O140" s="552"/>
    </row>
    <row r="141" spans="1:26" ht="18" customHeight="1" thickTop="1" thickBot="1">
      <c r="A141" s="12"/>
      <c r="B141" s="3"/>
      <c r="C141" s="13" t="s">
        <v>329</v>
      </c>
      <c r="D141" s="3" t="s">
        <v>92</v>
      </c>
      <c r="E141" s="212">
        <f>'CalculSpeeTile10+SpeeTherm15-30'!G20+'CalculSpeeTile10+SpeeTherm15-30'!R20+'CalculSpeeTile10+SpeeTherm15-30'!AC20</f>
        <v>0</v>
      </c>
      <c r="F141" s="150">
        <v>13</v>
      </c>
      <c r="G141" s="33">
        <f>E141*F141</f>
        <v>0</v>
      </c>
      <c r="H141" s="251">
        <f t="shared" si="23"/>
        <v>0</v>
      </c>
      <c r="I141" s="576"/>
      <c r="O141" s="552"/>
    </row>
    <row r="142" spans="1:26" ht="18" customHeight="1" thickBot="1">
      <c r="A142" s="435"/>
      <c r="B142" s="436"/>
      <c r="C142" s="31" t="s">
        <v>333</v>
      </c>
      <c r="D142" s="30" t="s">
        <v>331</v>
      </c>
      <c r="E142" s="169">
        <f>IF(AND(E114=1, E118=1, E122=1), 3,
IF(OR(AND(E114=1, E118=1), AND(E114=1, E122=1), AND(E118=1, E122=1)), 2,
IF(OR(E114=1, E118=1, E122=1), 1, 0)))</f>
        <v>0</v>
      </c>
      <c r="F142" s="432">
        <v>110</v>
      </c>
      <c r="G142" s="437">
        <f t="shared" ref="G142" si="24">E142*F142</f>
        <v>0</v>
      </c>
      <c r="H142" s="251">
        <f t="shared" si="23"/>
        <v>0</v>
      </c>
      <c r="I142" s="576"/>
      <c r="O142" s="552"/>
    </row>
    <row r="143" spans="1:26" ht="18" customHeight="1" thickTop="1" thickBot="1">
      <c r="A143" s="522" t="s">
        <v>334</v>
      </c>
      <c r="B143" s="523"/>
      <c r="C143" s="523"/>
      <c r="D143" s="523"/>
      <c r="E143" s="523"/>
      <c r="F143" s="523"/>
      <c r="G143" s="98">
        <f>SUM(G141:G142)</f>
        <v>0</v>
      </c>
      <c r="H143" s="251">
        <f>G143</f>
        <v>0</v>
      </c>
      <c r="I143" s="576"/>
      <c r="O143" s="552"/>
    </row>
    <row r="144" spans="1:26" ht="15" thickTop="1">
      <c r="I144" s="576"/>
      <c r="O144" s="552"/>
    </row>
    <row r="145" spans="1:21">
      <c r="I145" s="576"/>
      <c r="O145" s="552"/>
    </row>
    <row r="146" spans="1:21" ht="18" customHeight="1">
      <c r="A146" s="544" t="s">
        <v>169</v>
      </c>
      <c r="B146" s="544"/>
      <c r="C146" s="544"/>
      <c r="D146" s="544"/>
      <c r="E146" s="544"/>
      <c r="F146" s="544"/>
      <c r="G146" s="544"/>
      <c r="I146" s="576"/>
      <c r="J146" s="81"/>
      <c r="K146" s="82"/>
      <c r="L146" s="80"/>
      <c r="M146" s="78"/>
      <c r="N146" s="78"/>
      <c r="O146" s="552"/>
      <c r="P146" s="49"/>
      <c r="Q146" s="50"/>
      <c r="R146" s="50"/>
      <c r="S146" s="50"/>
    </row>
    <row r="147" spans="1:21" ht="18" customHeight="1">
      <c r="A147" s="559" t="s">
        <v>170</v>
      </c>
      <c r="B147" s="559"/>
      <c r="C147" s="559"/>
      <c r="D147" s="559"/>
      <c r="E147" s="559"/>
      <c r="F147" s="559"/>
      <c r="G147" s="559"/>
      <c r="I147" s="576"/>
      <c r="J147" s="79"/>
      <c r="K147" s="80"/>
      <c r="L147" s="80"/>
      <c r="M147" s="78"/>
      <c r="N147" s="78"/>
      <c r="O147" s="552"/>
      <c r="P147" s="49"/>
      <c r="Q147" s="50"/>
      <c r="R147" s="50"/>
      <c r="S147" s="50"/>
    </row>
    <row r="148" spans="1:21" ht="27" customHeight="1">
      <c r="A148" s="559" t="s">
        <v>177</v>
      </c>
      <c r="B148" s="559"/>
      <c r="C148" s="559"/>
      <c r="D148" s="559"/>
      <c r="E148" s="559"/>
      <c r="F148" s="559"/>
      <c r="G148" s="559"/>
      <c r="I148" s="576"/>
      <c r="J148" s="79"/>
      <c r="K148" s="80"/>
      <c r="L148" s="80"/>
      <c r="M148" s="78"/>
      <c r="N148" s="78"/>
      <c r="O148" s="552"/>
      <c r="P148" s="49"/>
      <c r="Q148" s="50"/>
      <c r="R148" s="50"/>
      <c r="S148" s="50"/>
    </row>
    <row r="149" spans="1:21" ht="32.25" customHeight="1">
      <c r="A149" s="559" t="s">
        <v>328</v>
      </c>
      <c r="B149" s="559"/>
      <c r="C149" s="559"/>
      <c r="D149" s="559"/>
      <c r="E149" s="559"/>
      <c r="F149" s="559"/>
      <c r="G149" s="559"/>
      <c r="I149" s="576"/>
      <c r="J149" s="81"/>
      <c r="K149" s="82"/>
      <c r="L149" s="83"/>
      <c r="M149" s="84"/>
      <c r="N149" s="84"/>
      <c r="O149" s="552"/>
      <c r="P149" s="49"/>
      <c r="Q149" s="50"/>
      <c r="R149" s="50"/>
      <c r="S149" s="50"/>
    </row>
    <row r="150" spans="1:21" ht="30.75" customHeight="1">
      <c r="A150" s="559" t="s">
        <v>174</v>
      </c>
      <c r="B150" s="559"/>
      <c r="C150" s="559"/>
      <c r="D150" s="559"/>
      <c r="E150" s="559"/>
      <c r="F150" s="559"/>
      <c r="G150" s="559"/>
      <c r="I150" s="576"/>
      <c r="J150" s="79"/>
      <c r="K150" s="80"/>
      <c r="L150" s="80"/>
      <c r="M150" s="78"/>
      <c r="N150" s="78"/>
      <c r="O150" s="552"/>
      <c r="P150" s="49"/>
      <c r="Q150" s="50"/>
      <c r="R150" s="50"/>
      <c r="S150" s="50"/>
    </row>
    <row r="151" spans="1:21" ht="18" customHeight="1">
      <c r="A151" s="16"/>
      <c r="B151" s="16"/>
      <c r="C151" s="16"/>
      <c r="D151" s="16"/>
      <c r="E151" s="16"/>
      <c r="F151" s="16"/>
      <c r="G151" s="16"/>
      <c r="I151" s="576"/>
      <c r="J151" s="79"/>
      <c r="K151" s="80"/>
      <c r="L151" s="80"/>
      <c r="M151" s="78"/>
      <c r="N151" s="78"/>
      <c r="O151" s="552"/>
      <c r="P151" s="49"/>
      <c r="Q151" s="50"/>
      <c r="R151" s="50"/>
      <c r="S151" s="50"/>
    </row>
    <row r="152" spans="1:21" ht="18" customHeight="1">
      <c r="A152" s="560" t="s">
        <v>142</v>
      </c>
      <c r="B152" s="560"/>
      <c r="C152" s="560"/>
      <c r="G152" s="44"/>
      <c r="I152" s="576"/>
      <c r="J152" s="79"/>
      <c r="K152" s="80"/>
      <c r="L152" s="80"/>
      <c r="M152" s="78"/>
      <c r="N152" s="78"/>
      <c r="O152" s="552"/>
      <c r="P152" s="49"/>
      <c r="Q152" s="50"/>
      <c r="R152" s="50"/>
      <c r="S152" s="50"/>
    </row>
    <row r="153" spans="1:21" ht="18" customHeight="1">
      <c r="A153" s="561" t="s">
        <v>324</v>
      </c>
      <c r="B153" s="561"/>
      <c r="C153" s="561"/>
      <c r="D153" s="196"/>
      <c r="E153" s="210"/>
      <c r="F153" s="210"/>
      <c r="G153" s="211"/>
      <c r="I153" s="576"/>
      <c r="J153" s="79"/>
      <c r="K153" s="80"/>
      <c r="L153" s="80"/>
      <c r="M153" s="78"/>
      <c r="N153" s="78"/>
      <c r="O153" s="552"/>
      <c r="P153" s="49"/>
      <c r="Q153" s="50"/>
      <c r="R153" s="50"/>
      <c r="S153" s="50"/>
    </row>
    <row r="154" spans="1:21" ht="18" customHeight="1">
      <c r="A154" s="544" t="s">
        <v>56</v>
      </c>
      <c r="B154" s="544"/>
      <c r="C154" s="544"/>
      <c r="D154" s="544"/>
      <c r="E154" s="544"/>
      <c r="F154" s="544"/>
      <c r="G154" s="544"/>
      <c r="I154" s="576"/>
      <c r="J154" s="79"/>
      <c r="K154" s="80"/>
      <c r="L154" s="80"/>
      <c r="M154" s="78"/>
      <c r="N154" s="78"/>
      <c r="O154" s="552"/>
      <c r="P154" s="49"/>
      <c r="Q154" s="50"/>
      <c r="R154" s="50"/>
      <c r="S154" s="50"/>
    </row>
    <row r="155" spans="1:21" ht="18" customHeight="1">
      <c r="A155" s="544" t="s">
        <v>93</v>
      </c>
      <c r="B155" s="544"/>
      <c r="C155" s="544"/>
      <c r="D155" s="544"/>
      <c r="E155" s="544"/>
      <c r="F155" s="544"/>
      <c r="G155" s="544"/>
      <c r="I155" s="576"/>
      <c r="J155" s="79"/>
      <c r="K155" s="80"/>
      <c r="L155" s="80"/>
      <c r="M155" s="78"/>
      <c r="N155" s="78"/>
      <c r="O155" s="552"/>
      <c r="P155" s="49"/>
      <c r="Q155" s="50"/>
      <c r="R155" s="50"/>
      <c r="S155" s="50"/>
      <c r="U155" s="69"/>
    </row>
    <row r="156" spans="1:21" ht="18" customHeight="1">
      <c r="A156" s="544" t="s">
        <v>57</v>
      </c>
      <c r="B156" s="544"/>
      <c r="C156" s="544"/>
      <c r="D156" s="544"/>
      <c r="E156" s="544"/>
      <c r="F156" s="544"/>
      <c r="G156" s="544"/>
      <c r="I156" s="576"/>
      <c r="J156" s="79"/>
      <c r="K156" s="80"/>
      <c r="L156" s="80"/>
      <c r="M156" s="78"/>
      <c r="N156" s="78"/>
      <c r="O156" s="552"/>
      <c r="Q156" s="50"/>
      <c r="R156" s="50"/>
      <c r="S156" s="50"/>
    </row>
    <row r="157" spans="1:21" ht="18" customHeight="1">
      <c r="A157" s="16"/>
      <c r="B157" s="15"/>
      <c r="C157" s="15"/>
      <c r="D157" s="15"/>
      <c r="E157" s="15"/>
      <c r="F157" s="15"/>
      <c r="G157" s="15"/>
      <c r="I157" s="576"/>
      <c r="J157" s="79"/>
      <c r="K157" s="80"/>
      <c r="L157" s="80"/>
      <c r="M157" s="78"/>
      <c r="N157" s="78"/>
      <c r="O157" s="552"/>
      <c r="P157" s="49"/>
      <c r="Q157" s="50"/>
      <c r="R157" s="50"/>
      <c r="S157" s="50"/>
    </row>
    <row r="158" spans="1:21" ht="18" customHeight="1">
      <c r="A158" s="15"/>
      <c r="B158" s="21" t="s">
        <v>33</v>
      </c>
      <c r="C158" s="22"/>
      <c r="D158" s="22"/>
      <c r="E158" s="22"/>
      <c r="F158" s="22"/>
      <c r="G158" s="22"/>
      <c r="I158" s="576"/>
      <c r="J158" s="79"/>
      <c r="K158" s="80"/>
      <c r="L158" s="80"/>
      <c r="M158" s="78"/>
      <c r="N158" s="78"/>
      <c r="O158" s="552"/>
      <c r="P158" s="49"/>
      <c r="Q158" s="50"/>
      <c r="R158" s="50"/>
      <c r="S158" s="50"/>
    </row>
    <row r="159" spans="1:21" ht="18" customHeight="1">
      <c r="A159" s="15"/>
      <c r="B159" s="23" t="s">
        <v>517</v>
      </c>
      <c r="C159" s="24"/>
      <c r="D159" s="24"/>
      <c r="E159" s="24"/>
      <c r="F159" s="24"/>
      <c r="G159" s="24"/>
      <c r="I159" s="576"/>
      <c r="J159" s="79"/>
      <c r="K159" s="80"/>
      <c r="L159" s="80"/>
      <c r="M159" s="78"/>
      <c r="N159" s="78"/>
      <c r="O159" s="552"/>
      <c r="P159" s="49"/>
      <c r="Q159" s="50"/>
      <c r="R159" s="50"/>
      <c r="S159" s="50"/>
    </row>
    <row r="160" spans="1:21" ht="18" customHeight="1">
      <c r="A160" s="25"/>
      <c r="B160" s="594" t="s">
        <v>518</v>
      </c>
      <c r="C160" s="595"/>
      <c r="D160" s="25"/>
      <c r="E160" s="25"/>
      <c r="F160" s="25"/>
      <c r="G160" s="25"/>
      <c r="I160" s="576"/>
      <c r="J160" s="81"/>
      <c r="K160" s="82"/>
      <c r="L160" s="80"/>
      <c r="M160" s="78"/>
      <c r="N160" s="85"/>
      <c r="O160" s="552"/>
      <c r="P160" s="49"/>
      <c r="Q160" s="50"/>
      <c r="R160" s="50"/>
      <c r="S160" s="50"/>
    </row>
    <row r="161" spans="1:26" ht="15.75" customHeight="1">
      <c r="A161" s="25"/>
      <c r="B161" s="594" t="s">
        <v>34</v>
      </c>
      <c r="C161" s="595"/>
      <c r="D161" s="25"/>
      <c r="E161" s="25"/>
      <c r="F161" s="25"/>
      <c r="G161" s="25"/>
      <c r="I161" s="576"/>
      <c r="J161" s="77"/>
      <c r="K161" s="85"/>
      <c r="L161" s="80"/>
      <c r="M161" s="78"/>
      <c r="N161" s="85"/>
      <c r="O161" s="552"/>
      <c r="P161" s="49"/>
      <c r="Q161" s="50"/>
      <c r="R161" s="50"/>
      <c r="S161" s="50"/>
    </row>
    <row r="162" spans="1:26" ht="18" customHeight="1">
      <c r="I162" s="576"/>
      <c r="J162" s="81"/>
      <c r="K162" s="82"/>
      <c r="L162" s="82"/>
      <c r="M162" s="86"/>
      <c r="N162" s="86"/>
      <c r="O162" s="552"/>
      <c r="P162" s="69"/>
      <c r="Q162" s="69"/>
      <c r="R162" s="32"/>
      <c r="S162" s="92"/>
      <c r="T162" s="94"/>
      <c r="U162" s="69"/>
      <c r="V162" s="73"/>
      <c r="W162" s="74"/>
      <c r="X162" s="89"/>
      <c r="Y162" s="89"/>
      <c r="Z162" s="69"/>
    </row>
    <row r="163" spans="1:26" ht="18" customHeight="1">
      <c r="I163" s="576"/>
      <c r="J163" s="81"/>
      <c r="K163" s="82"/>
      <c r="L163" s="82"/>
      <c r="M163" s="86"/>
      <c r="N163" s="86"/>
      <c r="O163" s="552"/>
      <c r="P163" s="69"/>
      <c r="Q163" s="69"/>
      <c r="R163" s="32"/>
      <c r="S163" s="92"/>
      <c r="T163" s="69"/>
      <c r="U163" s="69"/>
      <c r="V163" s="90"/>
      <c r="W163" s="86"/>
      <c r="X163" s="91"/>
      <c r="Y163" s="91"/>
      <c r="Z163" s="69"/>
    </row>
    <row r="164" spans="1:26" ht="18" customHeight="1">
      <c r="I164" s="576"/>
      <c r="J164" s="81"/>
      <c r="K164" s="82"/>
      <c r="L164" s="82"/>
      <c r="M164" s="86"/>
      <c r="N164" s="86"/>
      <c r="O164" s="552"/>
      <c r="P164" s="69"/>
      <c r="Q164" s="69"/>
      <c r="R164" s="32"/>
      <c r="S164" s="92"/>
      <c r="T164" s="69"/>
      <c r="U164" s="69"/>
      <c r="V164" s="73"/>
      <c r="W164" s="88"/>
      <c r="X164" s="69"/>
      <c r="Y164" s="69"/>
      <c r="Z164" s="69"/>
    </row>
    <row r="165" spans="1:26" ht="18" customHeight="1">
      <c r="I165" s="576"/>
      <c r="J165" s="81"/>
      <c r="K165" s="82"/>
      <c r="L165" s="82"/>
      <c r="M165" s="86"/>
      <c r="N165" s="86"/>
      <c r="O165" s="552"/>
      <c r="P165" s="69"/>
      <c r="Q165" s="69"/>
      <c r="R165" s="92"/>
      <c r="S165" s="92"/>
      <c r="T165" s="69"/>
      <c r="U165" s="69"/>
      <c r="V165" s="69"/>
      <c r="W165" s="69"/>
      <c r="X165" s="69"/>
      <c r="Y165" s="69"/>
      <c r="Z165" s="69"/>
    </row>
    <row r="166" spans="1:26" ht="18" customHeight="1">
      <c r="I166" s="576"/>
      <c r="J166" s="81"/>
      <c r="K166" s="82"/>
      <c r="L166" s="82"/>
      <c r="M166" s="86"/>
      <c r="N166" s="86"/>
      <c r="O166" s="552"/>
      <c r="P166" s="69"/>
      <c r="Q166" s="69"/>
      <c r="R166" s="92"/>
      <c r="S166" s="92"/>
      <c r="T166" s="69"/>
      <c r="U166" s="69"/>
      <c r="V166" s="69"/>
      <c r="W166" s="69"/>
      <c r="X166" s="69"/>
      <c r="Y166" s="69"/>
      <c r="Z166" s="69"/>
    </row>
    <row r="167" spans="1:26" ht="18" customHeight="1">
      <c r="I167" s="576"/>
      <c r="J167" s="81"/>
      <c r="K167" s="82"/>
      <c r="L167" s="82"/>
      <c r="M167" s="86"/>
      <c r="N167" s="86"/>
      <c r="O167" s="552"/>
      <c r="P167" s="100"/>
      <c r="Q167" s="101"/>
      <c r="R167" s="92"/>
      <c r="S167" s="92"/>
      <c r="T167" s="69"/>
      <c r="U167" s="69"/>
      <c r="V167" s="69"/>
      <c r="W167" s="69"/>
      <c r="X167" s="69"/>
      <c r="Y167" s="69"/>
      <c r="Z167" s="69"/>
    </row>
    <row r="168" spans="1:26" ht="18" customHeight="1">
      <c r="I168" s="576"/>
      <c r="J168" s="81"/>
      <c r="K168" s="82"/>
      <c r="L168" s="82"/>
      <c r="M168" s="86"/>
      <c r="N168" s="86"/>
      <c r="O168" s="552"/>
      <c r="P168" s="100"/>
      <c r="Q168" s="92"/>
      <c r="R168" s="92"/>
      <c r="S168" s="92"/>
      <c r="T168" s="69"/>
      <c r="U168" s="69"/>
      <c r="V168" s="69"/>
      <c r="W168" s="69"/>
      <c r="X168" s="69"/>
      <c r="Y168" s="69"/>
      <c r="Z168" s="69"/>
    </row>
    <row r="169" spans="1:26" ht="18" customHeight="1">
      <c r="I169" s="576"/>
      <c r="J169" s="81"/>
      <c r="K169" s="82"/>
      <c r="L169" s="82"/>
      <c r="M169" s="86"/>
      <c r="N169" s="86"/>
      <c r="O169" s="552"/>
      <c r="P169" s="100"/>
      <c r="Q169" s="92"/>
      <c r="R169" s="92"/>
      <c r="S169" s="92"/>
      <c r="T169" s="69"/>
      <c r="U169" s="69"/>
      <c r="V169" s="69"/>
      <c r="W169" s="69"/>
      <c r="X169" s="69"/>
      <c r="Y169" s="69"/>
      <c r="Z169" s="69"/>
    </row>
    <row r="170" spans="1:26" ht="18" customHeight="1">
      <c r="I170" s="576"/>
      <c r="J170" s="81"/>
      <c r="K170" s="82"/>
      <c r="L170" s="82"/>
      <c r="M170" s="86"/>
      <c r="N170" s="86"/>
      <c r="O170" s="552"/>
      <c r="P170" s="100"/>
      <c r="Q170" s="92"/>
      <c r="R170" s="92"/>
      <c r="S170" s="92"/>
      <c r="T170" s="69"/>
      <c r="U170" s="69"/>
      <c r="V170" s="69"/>
      <c r="W170" s="69"/>
      <c r="X170" s="69"/>
      <c r="Y170" s="69"/>
      <c r="Z170" s="69"/>
    </row>
    <row r="171" spans="1:26" ht="18" customHeight="1">
      <c r="I171" s="568"/>
      <c r="J171" s="568"/>
      <c r="K171" s="568"/>
      <c r="L171" s="73"/>
      <c r="M171" s="88"/>
      <c r="N171" s="88"/>
      <c r="O171" s="102"/>
      <c r="P171" s="100"/>
      <c r="Q171" s="92"/>
      <c r="R171" s="92"/>
      <c r="S171" s="92"/>
      <c r="T171" s="69"/>
      <c r="U171" s="69"/>
      <c r="V171" s="69"/>
      <c r="W171" s="69"/>
      <c r="X171" s="69"/>
      <c r="Y171" s="69"/>
      <c r="Z171" s="69"/>
    </row>
    <row r="172" spans="1:26">
      <c r="I172" s="575"/>
      <c r="J172" s="81"/>
      <c r="K172" s="82"/>
      <c r="L172" s="82"/>
      <c r="M172" s="86"/>
      <c r="N172" s="86"/>
      <c r="O172" s="551"/>
      <c r="P172" s="100"/>
      <c r="Q172" s="92"/>
      <c r="R172" s="92"/>
      <c r="S172" s="92"/>
      <c r="T172" s="69"/>
      <c r="U172" s="69"/>
      <c r="V172" s="69"/>
      <c r="W172" s="69"/>
      <c r="X172" s="69"/>
      <c r="Y172" s="69"/>
      <c r="Z172" s="69"/>
    </row>
    <row r="173" spans="1:26" ht="18" customHeight="1">
      <c r="I173" s="575"/>
      <c r="J173" s="81"/>
      <c r="K173" s="82"/>
      <c r="L173" s="82"/>
      <c r="M173" s="86"/>
      <c r="N173" s="86"/>
      <c r="O173" s="551"/>
      <c r="P173" s="100"/>
      <c r="Q173" s="92"/>
      <c r="R173" s="92"/>
      <c r="S173" s="92"/>
      <c r="T173" s="69"/>
      <c r="U173" s="69"/>
      <c r="V173" s="69"/>
      <c r="W173" s="69"/>
      <c r="X173" s="69"/>
      <c r="Y173" s="69"/>
      <c r="Z173" s="69"/>
    </row>
    <row r="174" spans="1:26" ht="18" customHeight="1">
      <c r="I174" s="575"/>
      <c r="J174" s="81"/>
      <c r="K174" s="82"/>
      <c r="L174" s="82"/>
      <c r="M174" s="86"/>
      <c r="N174" s="86"/>
      <c r="O174" s="551"/>
      <c r="P174" s="100"/>
      <c r="Q174" s="92"/>
      <c r="R174" s="92"/>
      <c r="S174" s="92"/>
      <c r="T174" s="69"/>
      <c r="U174" s="69"/>
      <c r="V174" s="69"/>
      <c r="W174" s="69"/>
      <c r="X174" s="69"/>
      <c r="Y174" s="69"/>
      <c r="Z174" s="69"/>
    </row>
    <row r="175" spans="1:26" ht="18" customHeight="1">
      <c r="I175" s="575"/>
      <c r="J175" s="81"/>
      <c r="K175" s="82"/>
      <c r="L175" s="82"/>
      <c r="M175" s="86"/>
      <c r="N175" s="86"/>
      <c r="O175" s="551"/>
      <c r="P175" s="100"/>
      <c r="Q175" s="92"/>
      <c r="R175" s="92"/>
      <c r="S175" s="92"/>
      <c r="T175" s="69"/>
      <c r="U175" s="69"/>
      <c r="V175" s="69"/>
      <c r="W175" s="69"/>
      <c r="X175" s="69"/>
      <c r="Y175" s="69"/>
      <c r="Z175" s="69"/>
    </row>
    <row r="176" spans="1:26" ht="18" customHeight="1">
      <c r="I176" s="575"/>
      <c r="J176" s="81"/>
      <c r="K176" s="82"/>
      <c r="L176" s="82"/>
      <c r="M176" s="86"/>
      <c r="N176" s="86"/>
      <c r="O176" s="551"/>
      <c r="P176" s="100"/>
      <c r="Q176" s="92"/>
      <c r="R176" s="92"/>
      <c r="S176" s="92"/>
      <c r="T176" s="69"/>
      <c r="U176" s="69"/>
      <c r="V176" s="69"/>
      <c r="W176" s="69"/>
      <c r="X176" s="69"/>
      <c r="Y176" s="69"/>
      <c r="Z176" s="69"/>
    </row>
    <row r="177" spans="9:26" ht="18" customHeight="1">
      <c r="I177" s="575"/>
      <c r="J177" s="81"/>
      <c r="K177" s="82"/>
      <c r="L177" s="82"/>
      <c r="M177" s="86"/>
      <c r="N177" s="86"/>
      <c r="O177" s="551"/>
      <c r="P177" s="100"/>
      <c r="Q177" s="92"/>
      <c r="R177" s="92"/>
      <c r="S177" s="92"/>
      <c r="T177" s="69"/>
      <c r="U177" s="69"/>
      <c r="V177" s="69"/>
      <c r="W177" s="69"/>
      <c r="X177" s="69"/>
      <c r="Y177" s="69"/>
      <c r="Z177" s="69"/>
    </row>
    <row r="178" spans="9:26" ht="18" customHeight="1">
      <c r="I178" s="575"/>
      <c r="J178" s="81"/>
      <c r="K178" s="82"/>
      <c r="L178" s="82"/>
      <c r="M178" s="86"/>
      <c r="N178" s="86"/>
      <c r="O178" s="551"/>
      <c r="P178" s="69"/>
      <c r="Q178" s="92"/>
      <c r="R178" s="92"/>
      <c r="S178" s="92"/>
      <c r="T178" s="69"/>
      <c r="U178" s="69"/>
      <c r="V178" s="69"/>
      <c r="W178" s="69"/>
      <c r="X178" s="69"/>
      <c r="Y178" s="69"/>
      <c r="Z178" s="69"/>
    </row>
    <row r="179" spans="9:26" ht="18" customHeight="1">
      <c r="I179" s="575"/>
      <c r="J179" s="81"/>
      <c r="K179" s="82"/>
      <c r="L179" s="82"/>
      <c r="M179" s="86"/>
      <c r="N179" s="86"/>
      <c r="O179" s="551"/>
      <c r="P179" s="100"/>
      <c r="Q179" s="92"/>
      <c r="R179" s="92"/>
      <c r="S179" s="92"/>
      <c r="T179" s="69"/>
      <c r="U179" s="69"/>
      <c r="V179" s="69"/>
      <c r="W179" s="69"/>
      <c r="X179" s="69"/>
      <c r="Y179" s="69"/>
      <c r="Z179" s="69"/>
    </row>
    <row r="180" spans="9:26" ht="18" customHeight="1">
      <c r="I180" s="575"/>
      <c r="J180" s="81"/>
      <c r="K180" s="82"/>
      <c r="L180" s="82"/>
      <c r="M180" s="86"/>
      <c r="N180" s="86"/>
      <c r="O180" s="551"/>
      <c r="P180" s="100"/>
      <c r="Q180" s="92"/>
      <c r="R180" s="92"/>
      <c r="S180" s="92"/>
      <c r="T180" s="69"/>
      <c r="U180" s="69"/>
      <c r="V180" s="69"/>
      <c r="W180" s="69"/>
      <c r="X180" s="69"/>
      <c r="Y180" s="69"/>
      <c r="Z180" s="69"/>
    </row>
    <row r="181" spans="9:26" ht="18" customHeight="1">
      <c r="I181" s="575"/>
      <c r="J181" s="81"/>
      <c r="K181" s="82"/>
      <c r="L181" s="82"/>
      <c r="M181" s="86"/>
      <c r="N181" s="86"/>
      <c r="O181" s="551"/>
      <c r="P181" s="100"/>
      <c r="Q181" s="92"/>
      <c r="R181" s="92"/>
      <c r="S181" s="92"/>
      <c r="T181" s="69"/>
      <c r="U181" s="69"/>
      <c r="V181" s="69"/>
      <c r="W181" s="69"/>
      <c r="X181" s="69"/>
      <c r="Y181" s="69"/>
      <c r="Z181" s="69"/>
    </row>
    <row r="182" spans="9:26" ht="18" customHeight="1">
      <c r="I182" s="575"/>
      <c r="J182" s="81"/>
      <c r="K182" s="82"/>
      <c r="L182" s="82"/>
      <c r="M182" s="86"/>
      <c r="N182" s="103"/>
      <c r="O182" s="551"/>
      <c r="P182" s="100"/>
      <c r="Q182" s="92"/>
      <c r="R182" s="92"/>
      <c r="S182" s="92"/>
      <c r="T182" s="69"/>
      <c r="U182" s="69"/>
      <c r="V182" s="69"/>
      <c r="W182" s="69"/>
      <c r="X182" s="69"/>
      <c r="Y182" s="69"/>
      <c r="Z182" s="69"/>
    </row>
    <row r="183" spans="9:26" ht="18" customHeight="1">
      <c r="I183" s="575"/>
      <c r="J183" s="90"/>
      <c r="K183" s="103"/>
      <c r="L183" s="82"/>
      <c r="M183" s="86"/>
      <c r="N183" s="103"/>
      <c r="O183" s="551"/>
      <c r="P183" s="100"/>
      <c r="Q183" s="92"/>
      <c r="R183" s="92"/>
      <c r="S183" s="92"/>
      <c r="T183" s="69"/>
      <c r="U183" s="69"/>
      <c r="V183" s="69"/>
      <c r="W183" s="69"/>
      <c r="X183" s="69"/>
      <c r="Y183" s="69"/>
      <c r="Z183" s="69"/>
    </row>
    <row r="184" spans="9:26" ht="18" customHeight="1">
      <c r="I184" s="568"/>
      <c r="J184" s="568"/>
      <c r="K184" s="568"/>
      <c r="L184" s="104"/>
      <c r="M184" s="88"/>
      <c r="N184" s="88"/>
      <c r="O184" s="69"/>
      <c r="P184" s="69"/>
      <c r="Q184" s="92"/>
      <c r="R184" s="92"/>
      <c r="S184" s="92"/>
      <c r="T184" s="69"/>
      <c r="U184" s="69"/>
      <c r="V184" s="69"/>
      <c r="W184" s="69"/>
      <c r="X184" s="69"/>
      <c r="Y184" s="69"/>
      <c r="Z184" s="69"/>
    </row>
    <row r="185" spans="9:26" ht="18" customHeight="1">
      <c r="I185" s="574"/>
      <c r="J185" s="574"/>
      <c r="K185" s="574"/>
      <c r="L185" s="88"/>
      <c r="M185" s="88"/>
      <c r="N185" s="92"/>
      <c r="O185" s="92"/>
      <c r="P185" s="92"/>
      <c r="Q185" s="92"/>
      <c r="R185" s="92"/>
      <c r="S185" s="92"/>
      <c r="T185" s="69"/>
      <c r="U185" s="69"/>
      <c r="V185" s="69"/>
      <c r="W185" s="69"/>
      <c r="X185" s="69"/>
      <c r="Y185" s="69"/>
      <c r="Z185" s="69"/>
    </row>
  </sheetData>
  <autoFilter ref="H15:H143" xr:uid="{00000000-0001-0000-0000-000000000000}"/>
  <mergeCells count="77">
    <mergeCell ref="O172:O183"/>
    <mergeCell ref="I184:K184"/>
    <mergeCell ref="I185:K185"/>
    <mergeCell ref="A155:G155"/>
    <mergeCell ref="A156:G156"/>
    <mergeCell ref="B160:C160"/>
    <mergeCell ref="B161:C161"/>
    <mergeCell ref="I171:K171"/>
    <mergeCell ref="I172:I183"/>
    <mergeCell ref="A148:G148"/>
    <mergeCell ref="A149:G149"/>
    <mergeCell ref="A150:G150"/>
    <mergeCell ref="A152:C152"/>
    <mergeCell ref="A153:C153"/>
    <mergeCell ref="A154:G154"/>
    <mergeCell ref="O129:O170"/>
    <mergeCell ref="B131:B132"/>
    <mergeCell ref="C131:C132"/>
    <mergeCell ref="D131:D132"/>
    <mergeCell ref="E131:E132"/>
    <mergeCell ref="A135:F135"/>
    <mergeCell ref="A137:G137"/>
    <mergeCell ref="B139:B140"/>
    <mergeCell ref="C139:C140"/>
    <mergeCell ref="D139:D140"/>
    <mergeCell ref="I129:I170"/>
    <mergeCell ref="E139:E140"/>
    <mergeCell ref="A143:F143"/>
    <mergeCell ref="A146:G146"/>
    <mergeCell ref="A147:G147"/>
    <mergeCell ref="A121:C121"/>
    <mergeCell ref="A125:F125"/>
    <mergeCell ref="A126:D126"/>
    <mergeCell ref="A127:F127"/>
    <mergeCell ref="A129:G129"/>
    <mergeCell ref="A117:C117"/>
    <mergeCell ref="A100:C100"/>
    <mergeCell ref="A104:F104"/>
    <mergeCell ref="A105:D105"/>
    <mergeCell ref="A106:F106"/>
    <mergeCell ref="A108:G108"/>
    <mergeCell ref="A109:G109"/>
    <mergeCell ref="B111:B112"/>
    <mergeCell ref="C111:C112"/>
    <mergeCell ref="D111:D112"/>
    <mergeCell ref="E111:E112"/>
    <mergeCell ref="A113:C113"/>
    <mergeCell ref="A96:C96"/>
    <mergeCell ref="A77:D77"/>
    <mergeCell ref="A78:D78"/>
    <mergeCell ref="A79:D79"/>
    <mergeCell ref="A85:G85"/>
    <mergeCell ref="A87:G87"/>
    <mergeCell ref="A88:G88"/>
    <mergeCell ref="B90:B91"/>
    <mergeCell ref="C90:C91"/>
    <mergeCell ref="D90:D91"/>
    <mergeCell ref="E90:E91"/>
    <mergeCell ref="A92:C92"/>
    <mergeCell ref="K18:O18"/>
    <mergeCell ref="A19:C19"/>
    <mergeCell ref="A35:C35"/>
    <mergeCell ref="A47:C47"/>
    <mergeCell ref="A55:D55"/>
    <mergeCell ref="A60:C60"/>
    <mergeCell ref="A13:G13"/>
    <mergeCell ref="B14:B15"/>
    <mergeCell ref="C14:C15"/>
    <mergeCell ref="D14:D15"/>
    <mergeCell ref="E14:E15"/>
    <mergeCell ref="A16:C16"/>
    <mergeCell ref="A7:C7"/>
    <mergeCell ref="A1:C1"/>
    <mergeCell ref="A2:C2"/>
    <mergeCell ref="A3:C3"/>
    <mergeCell ref="A5:G5"/>
    <mergeCell ref="A6:G6"/>
  </mergeCells>
  <hyperlinks>
    <hyperlink ref="B160" r:id="rId1" display="mailto:mihail.macovei@magnumheating.ro" xr:uid="{79D5E1F8-24EC-4ACE-831D-0B69B3EEED12}"/>
    <hyperlink ref="B161" r:id="rId2" xr:uid="{5524FF24-DE21-4588-97D4-CF55986A9C50}"/>
    <hyperlink ref="A153" r:id="rId3" xr:uid="{B8E5CEFE-DB4A-47A2-B111-CA5652D69FCB}"/>
  </hyperlinks>
  <pageMargins left="0.70866141732283505" right="0.23622047244094499" top="1.5" bottom="1.19" header="0.25" footer="0.15748031496063"/>
  <pageSetup paperSize="9" scale="83" orientation="portrait" r:id="rId4"/>
  <headerFooter scaleWithDoc="0" alignWithMargins="0">
    <oddHeader>&amp;L&amp;G&amp;R&amp;G</oddHeader>
    <oddFooter xml:space="preserve">&amp;L
RO33404978
J40/8589/2014
RO56INGB0000999915150915
Banca: ING BANK NV
&amp;C
Str. Învingătorilor nr. 27, Sector 3, București
Tel :  (+4) 0314.361.836
Mobil:  (+4) 0724.204.888
             (+4) 0766.367.287
&amp;REmail: 
comercial@magnumheating.ro
</oddFooter>
  </headerFooter>
  <colBreaks count="1" manualBreakCount="1">
    <brk id="7" max="1048575" man="1"/>
  </colBreaks>
  <drawing r:id="rId5"/>
  <legacyDrawing r:id="rId6"/>
  <legacyDrawingHF r:id="rId7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D9F8F0-B69F-445B-850E-7168A9E3ED4B}">
  <sheetPr>
    <tabColor theme="0" tint="-0.249977111117893"/>
  </sheetPr>
  <dimension ref="A1:Z182"/>
  <sheetViews>
    <sheetView zoomScaleNormal="100" zoomScaleSheetLayoutView="100" workbookViewId="0">
      <selection activeCell="E126" sqref="E126"/>
    </sheetView>
  </sheetViews>
  <sheetFormatPr defaultRowHeight="14.4"/>
  <cols>
    <col min="1" max="1" width="5.6640625" customWidth="1"/>
    <col min="2" max="2" width="13.21875" customWidth="1"/>
    <col min="3" max="3" width="56.109375" customWidth="1"/>
    <col min="4" max="4" width="5.88671875" customWidth="1"/>
    <col min="5" max="5" width="6.44140625" customWidth="1"/>
    <col min="6" max="6" width="10.77734375" customWidth="1"/>
    <col min="7" max="7" width="14.21875" customWidth="1"/>
    <col min="8" max="8" width="9" style="244" customWidth="1"/>
    <col min="9" max="9" width="8.77734375" customWidth="1"/>
    <col min="10" max="10" width="14" customWidth="1"/>
    <col min="15" max="15" width="10.5546875" customWidth="1"/>
    <col min="16" max="16" width="13.5546875" customWidth="1"/>
    <col min="17" max="17" width="16.21875" customWidth="1"/>
    <col min="18" max="18" width="8.5546875" customWidth="1"/>
    <col min="20" max="20" width="7.21875" customWidth="1"/>
    <col min="21" max="21" width="11.44140625" customWidth="1"/>
    <col min="22" max="22" width="13.5546875" customWidth="1"/>
    <col min="23" max="23" width="15.5546875" customWidth="1"/>
    <col min="24" max="24" width="14.21875" customWidth="1"/>
    <col min="25" max="25" width="14.77734375" customWidth="1"/>
  </cols>
  <sheetData>
    <row r="1" spans="1:17">
      <c r="A1" s="529" t="s">
        <v>597</v>
      </c>
      <c r="B1" s="530"/>
      <c r="C1" s="530"/>
    </row>
    <row r="2" spans="1:17">
      <c r="A2" s="529" t="s">
        <v>431</v>
      </c>
      <c r="B2" s="530"/>
      <c r="C2" s="530"/>
    </row>
    <row r="3" spans="1:17">
      <c r="A3" s="529" t="s">
        <v>172</v>
      </c>
      <c r="B3" s="530"/>
      <c r="C3" s="530"/>
    </row>
    <row r="4" spans="1:17" ht="6" customHeight="1"/>
    <row r="5" spans="1:17" ht="13.95" customHeight="1">
      <c r="A5" s="545" t="s">
        <v>0</v>
      </c>
      <c r="B5" s="545"/>
      <c r="C5" s="545"/>
      <c r="D5" s="545"/>
      <c r="E5" s="545"/>
      <c r="F5" s="545"/>
      <c r="G5" s="545"/>
      <c r="H5" s="246"/>
      <c r="I5" s="4"/>
      <c r="J5" s="5"/>
      <c r="K5" s="5"/>
      <c r="L5" s="5"/>
      <c r="M5" s="5"/>
      <c r="N5" s="5"/>
      <c r="O5" s="5"/>
      <c r="P5" s="5"/>
      <c r="Q5" s="5"/>
    </row>
    <row r="6" spans="1:17" ht="18" customHeight="1" thickBot="1">
      <c r="A6" s="524" t="s">
        <v>215</v>
      </c>
      <c r="B6" s="524"/>
      <c r="C6" s="524"/>
      <c r="D6" s="524"/>
      <c r="E6" s="524"/>
      <c r="F6" s="524"/>
      <c r="G6" s="524"/>
      <c r="H6" s="246"/>
      <c r="I6" s="4"/>
      <c r="J6" s="5"/>
      <c r="K6" s="5"/>
      <c r="L6" s="5"/>
      <c r="M6" s="5"/>
      <c r="N6" s="5"/>
      <c r="O6" s="5"/>
      <c r="P6" s="5"/>
      <c r="Q6" s="5"/>
    </row>
    <row r="7" spans="1:17" ht="18" customHeight="1" thickTop="1" thickBot="1">
      <c r="A7" s="524" t="s">
        <v>519</v>
      </c>
      <c r="B7" s="528"/>
      <c r="C7" s="528"/>
      <c r="D7" s="371">
        <f>'CalculSpeeTile10+SpeeTherm15-30'!B20+'CalculSpeeTile10+SpeeTherm15-30'!M20+'CalculSpeeTile10+SpeeTherm15-30'!X20</f>
        <v>0</v>
      </c>
      <c r="E7" s="438" t="s">
        <v>92</v>
      </c>
      <c r="F7" s="4"/>
      <c r="G7" s="4"/>
      <c r="H7" s="246"/>
      <c r="I7" s="4"/>
      <c r="J7" s="5"/>
      <c r="K7" s="5"/>
      <c r="L7" s="5"/>
      <c r="M7" s="5"/>
      <c r="N7" s="5"/>
      <c r="O7" s="5"/>
      <c r="P7" s="5"/>
      <c r="Q7" s="5"/>
    </row>
    <row r="8" spans="1:17" ht="18" customHeight="1" thickTop="1">
      <c r="A8" s="4"/>
      <c r="B8" s="4"/>
      <c r="C8" s="4"/>
      <c r="D8" s="4"/>
      <c r="E8" s="4"/>
      <c r="F8" s="4"/>
      <c r="G8" s="4"/>
      <c r="H8" s="246"/>
      <c r="I8" s="4"/>
      <c r="J8" s="5"/>
      <c r="K8" s="5"/>
      <c r="L8" s="5"/>
      <c r="M8" s="5"/>
      <c r="N8" s="5"/>
      <c r="O8" s="5"/>
      <c r="P8" s="5"/>
      <c r="Q8" s="5"/>
    </row>
    <row r="9" spans="1:17" ht="25.95" customHeight="1">
      <c r="A9" s="4"/>
      <c r="B9" s="4"/>
      <c r="C9" s="4"/>
      <c r="D9" s="4"/>
      <c r="E9" s="4"/>
      <c r="F9" s="4"/>
      <c r="G9" s="4"/>
      <c r="H9" s="246"/>
      <c r="I9" s="4"/>
      <c r="J9" s="5"/>
      <c r="K9" s="5"/>
      <c r="L9" s="5"/>
      <c r="M9" s="5"/>
      <c r="N9" s="5"/>
      <c r="O9" s="5"/>
      <c r="P9" s="5"/>
      <c r="Q9" s="5"/>
    </row>
    <row r="10" spans="1:17">
      <c r="A10" s="4"/>
      <c r="B10" s="4"/>
      <c r="C10" s="4"/>
      <c r="D10" s="4"/>
      <c r="E10" s="4"/>
      <c r="F10" s="4"/>
      <c r="G10" s="4"/>
      <c r="H10" s="246"/>
      <c r="I10" s="4"/>
      <c r="J10" s="5"/>
      <c r="K10" s="5"/>
      <c r="L10" s="5"/>
      <c r="M10" s="5"/>
      <c r="N10" s="5"/>
      <c r="O10" s="5"/>
      <c r="P10" s="5"/>
      <c r="Q10" s="5"/>
    </row>
    <row r="11" spans="1:17" ht="32.25" customHeight="1">
      <c r="A11" s="4"/>
      <c r="B11" s="4"/>
      <c r="C11" s="4"/>
      <c r="D11" s="4"/>
      <c r="E11" s="4"/>
      <c r="F11" s="4"/>
      <c r="G11" s="4"/>
      <c r="H11" s="246"/>
      <c r="I11" s="4"/>
      <c r="J11" s="5"/>
      <c r="K11" s="5"/>
      <c r="L11" s="5"/>
      <c r="M11" s="5"/>
      <c r="N11" s="5"/>
      <c r="O11" s="5"/>
      <c r="P11" s="5"/>
      <c r="Q11" s="5"/>
    </row>
    <row r="12" spans="1:17" ht="32.25" customHeight="1">
      <c r="A12" s="4"/>
      <c r="B12" s="4"/>
      <c r="C12" s="4"/>
      <c r="D12" s="4"/>
      <c r="E12" s="4"/>
      <c r="F12" s="4"/>
      <c r="G12" s="4"/>
      <c r="H12" s="246"/>
      <c r="I12" s="4"/>
      <c r="J12" s="5"/>
      <c r="K12" s="5"/>
      <c r="L12" s="5"/>
      <c r="M12" s="5"/>
      <c r="N12" s="5"/>
      <c r="O12" s="5"/>
      <c r="P12" s="5"/>
      <c r="Q12" s="5"/>
    </row>
    <row r="13" spans="1:17" ht="21.6" thickBot="1">
      <c r="A13" s="520" t="s">
        <v>140</v>
      </c>
      <c r="B13" s="521"/>
      <c r="C13" s="521"/>
      <c r="D13" s="521"/>
      <c r="E13" s="521"/>
      <c r="F13" s="521"/>
      <c r="G13" s="521"/>
      <c r="H13" s="247"/>
      <c r="I13" s="5"/>
      <c r="J13" s="5"/>
      <c r="K13" s="5"/>
      <c r="L13" s="5"/>
      <c r="M13" s="5"/>
      <c r="N13" s="5"/>
      <c r="O13" s="5"/>
      <c r="P13" s="5"/>
      <c r="Q13" s="5"/>
    </row>
    <row r="14" spans="1:17" ht="18.75" customHeight="1" thickTop="1">
      <c r="A14" s="6" t="s">
        <v>433</v>
      </c>
      <c r="B14" s="518" t="s">
        <v>3</v>
      </c>
      <c r="C14" s="518" t="s">
        <v>4</v>
      </c>
      <c r="D14" s="518" t="s">
        <v>5</v>
      </c>
      <c r="E14" s="518" t="s">
        <v>6</v>
      </c>
      <c r="F14" s="7" t="s">
        <v>7</v>
      </c>
      <c r="G14" s="8" t="s">
        <v>9</v>
      </c>
      <c r="H14" s="247"/>
      <c r="I14" s="5"/>
      <c r="J14" s="5"/>
      <c r="K14" s="5"/>
      <c r="L14" s="5"/>
      <c r="M14" s="5"/>
      <c r="N14" s="5"/>
      <c r="O14" s="5"/>
      <c r="P14" s="5"/>
      <c r="Q14" s="5"/>
    </row>
    <row r="15" spans="1:17" ht="26.25" customHeight="1" thickBot="1">
      <c r="A15" s="17" t="s">
        <v>2</v>
      </c>
      <c r="B15" s="527"/>
      <c r="C15" s="527"/>
      <c r="D15" s="527"/>
      <c r="E15" s="527"/>
      <c r="F15" s="18" t="s">
        <v>8</v>
      </c>
      <c r="G15" s="19" t="s">
        <v>8</v>
      </c>
      <c r="H15" s="247"/>
      <c r="I15" s="5"/>
      <c r="J15" s="5"/>
      <c r="K15" s="5"/>
      <c r="L15" s="5"/>
      <c r="M15" s="5"/>
      <c r="N15" s="5"/>
      <c r="O15" s="5"/>
      <c r="P15" s="5"/>
      <c r="Q15" s="5"/>
    </row>
    <row r="16" spans="1:17" ht="18" customHeight="1" thickTop="1" thickBot="1">
      <c r="A16" s="587" t="s">
        <v>591</v>
      </c>
      <c r="B16" s="588"/>
      <c r="C16" s="588"/>
      <c r="D16" s="373"/>
      <c r="E16" s="374"/>
      <c r="F16" s="375"/>
      <c r="G16" s="376"/>
      <c r="H16" s="248">
        <f>SUM(H17:H18)</f>
        <v>0</v>
      </c>
      <c r="I16" s="341"/>
      <c r="J16" s="5"/>
      <c r="K16" s="5"/>
      <c r="L16" s="5"/>
      <c r="M16" s="5"/>
      <c r="N16" s="5"/>
      <c r="O16" s="5"/>
      <c r="P16" s="5"/>
      <c r="Q16" s="5"/>
    </row>
    <row r="17" spans="1:17" ht="18" customHeight="1" thickTop="1" thickBot="1">
      <c r="A17" s="27"/>
      <c r="B17" s="20" t="s">
        <v>61</v>
      </c>
      <c r="C17" s="13" t="s">
        <v>63</v>
      </c>
      <c r="D17" s="327" t="s">
        <v>11</v>
      </c>
      <c r="E17" s="327">
        <f>INT('CalculSpeeTile10+SpeeTherm15-30'!C24-E18*240)/80</f>
        <v>0</v>
      </c>
      <c r="F17" s="513">
        <v>39</v>
      </c>
      <c r="G17" s="329">
        <f>E17*F17</f>
        <v>0</v>
      </c>
      <c r="H17" s="330">
        <f>E17</f>
        <v>0</v>
      </c>
      <c r="I17" s="353"/>
      <c r="J17" s="5"/>
      <c r="K17" s="5"/>
      <c r="L17" s="5"/>
      <c r="M17" s="5"/>
      <c r="N17" s="5"/>
      <c r="O17" s="5"/>
      <c r="P17" s="5"/>
      <c r="Q17" s="5"/>
    </row>
    <row r="18" spans="1:17" ht="18" customHeight="1" thickBot="1">
      <c r="A18" s="27"/>
      <c r="B18" s="20" t="s">
        <v>62</v>
      </c>
      <c r="C18" s="13" t="s">
        <v>75</v>
      </c>
      <c r="D18" s="327" t="s">
        <v>11</v>
      </c>
      <c r="E18" s="347">
        <f>INT('CalculSpeeTile10+SpeeTherm15-30'!C24/240)</f>
        <v>0</v>
      </c>
      <c r="F18" s="513">
        <v>116</v>
      </c>
      <c r="G18" s="350">
        <f t="shared" ref="G18" si="0">E18*F18</f>
        <v>0</v>
      </c>
      <c r="H18" s="330">
        <f t="shared" ref="H18" si="1">E18</f>
        <v>0</v>
      </c>
      <c r="I18" s="353"/>
      <c r="J18" s="46"/>
      <c r="K18" s="536"/>
      <c r="L18" s="536"/>
      <c r="M18" s="536"/>
      <c r="N18" s="536"/>
      <c r="O18" s="536"/>
      <c r="P18" s="5"/>
      <c r="Q18" s="5"/>
    </row>
    <row r="19" spans="1:17" ht="18" customHeight="1" thickTop="1" thickBot="1">
      <c r="A19" s="585" t="s">
        <v>440</v>
      </c>
      <c r="B19" s="586"/>
      <c r="C19" s="586"/>
      <c r="D19" s="381"/>
      <c r="E19" s="381"/>
      <c r="F19" s="381"/>
      <c r="G19" s="382"/>
      <c r="H19" s="248">
        <f>SUM(H20:H34)</f>
        <v>0</v>
      </c>
      <c r="I19" s="341"/>
      <c r="J19" s="192"/>
      <c r="K19" s="46"/>
      <c r="L19" s="46"/>
      <c r="M19" s="46"/>
      <c r="N19" s="46"/>
      <c r="O19" s="46"/>
      <c r="P19" s="5"/>
      <c r="Q19" s="5"/>
    </row>
    <row r="20" spans="1:17" ht="18" customHeight="1" thickTop="1" thickBot="1">
      <c r="A20" s="326"/>
      <c r="B20" s="327" t="s">
        <v>35</v>
      </c>
      <c r="C20" s="328" t="s">
        <v>441</v>
      </c>
      <c r="D20" s="327" t="s">
        <v>11</v>
      </c>
      <c r="E20" s="314">
        <f>IF(AND('CalculSpeeTile10+SpeeTherm15-30'!$K$24=2, 'CalculSpeeTile10+SpeeTherm15-30'!$V$24=2, 'CalculSpeeTile10+SpeeTherm15-30'!$AG$24=2), 3,
IF(OR(AND('CalculSpeeTile10+SpeeTherm15-30'!$K$24=2, 'CalculSpeeTile10+SpeeTherm15-30'!$V$24=2),
      AND('CalculSpeeTile10+SpeeTherm15-30'!$K$24=2, 'CalculSpeeTile10+SpeeTherm15-30'!$AG$24=2),
      AND('CalculSpeeTile10+SpeeTherm15-30'!$V$24=2, 'CalculSpeeTile10+SpeeTherm15-30'!$AG$24=2)), 2,
IF(OR('CalculSpeeTile10+SpeeTherm15-30'!$K$24=2, 'CalculSpeeTile10+SpeeTherm15-30'!$V$24=2, 'CalculSpeeTile10+SpeeTherm15-30'!$AG$24=2), 1, 0)))</f>
        <v>0</v>
      </c>
      <c r="F20" s="378">
        <v>104</v>
      </c>
      <c r="G20" s="329">
        <f t="shared" ref="G20:G34" si="2">E20*F20</f>
        <v>0</v>
      </c>
      <c r="H20" s="330">
        <f t="shared" ref="H20:H34" si="3">E20</f>
        <v>0</v>
      </c>
      <c r="I20" s="331"/>
      <c r="J20" s="46"/>
      <c r="K20" s="46"/>
      <c r="L20" s="46"/>
      <c r="M20" s="46"/>
      <c r="N20" s="46"/>
      <c r="O20" s="46"/>
      <c r="P20" s="5"/>
      <c r="Q20" s="5"/>
    </row>
    <row r="21" spans="1:17" ht="18" customHeight="1" thickBot="1">
      <c r="A21" s="334"/>
      <c r="B21" s="260" t="s">
        <v>36</v>
      </c>
      <c r="C21" s="332" t="s">
        <v>442</v>
      </c>
      <c r="D21" s="260" t="s">
        <v>11</v>
      </c>
      <c r="E21" s="20">
        <f>IF(AND('CalculSpeeTile10+SpeeTherm15-30'!$K$24=3, 'CalculSpeeTile10+SpeeTherm15-30'!$V$24=3, 'CalculSpeeTile10+SpeeTherm15-30'!$AG$24=3), 3,
IF(OR(AND('CalculSpeeTile10+SpeeTherm15-30'!$K$24=3, 'CalculSpeeTile10+SpeeTherm15-30'!$V$24=3),
      AND('CalculSpeeTile10+SpeeTherm15-30'!$K$24=3, 'CalculSpeeTile10+SpeeTherm15-30'!$AG$24=3),
      AND('CalculSpeeTile10+SpeeTherm15-30'!$V$24=3, 'CalculSpeeTile10+SpeeTherm15-30'!$AG$24=3)), 2,
IF(OR('CalculSpeeTile10+SpeeTherm15-30'!$K$24=3, 'CalculSpeeTile10+SpeeTherm15-30'!$V$24=3, 'CalculSpeeTile10+SpeeTherm15-30'!$AG$24=3), 1, 0)))</f>
        <v>0</v>
      </c>
      <c r="F21" s="383">
        <v>120</v>
      </c>
      <c r="G21" s="335">
        <f t="shared" si="2"/>
        <v>0</v>
      </c>
      <c r="H21" s="330">
        <f t="shared" si="3"/>
        <v>0</v>
      </c>
      <c r="I21" s="331"/>
      <c r="J21" s="46"/>
      <c r="K21" s="46"/>
      <c r="L21" s="46"/>
      <c r="M21" s="46"/>
      <c r="N21" s="46"/>
      <c r="O21" s="46"/>
      <c r="P21" s="5"/>
      <c r="Q21" s="5"/>
    </row>
    <row r="22" spans="1:17" ht="18" customHeight="1" thickBot="1">
      <c r="A22" s="334"/>
      <c r="B22" s="260" t="s">
        <v>37</v>
      </c>
      <c r="C22" s="332" t="s">
        <v>443</v>
      </c>
      <c r="D22" s="260" t="s">
        <v>11</v>
      </c>
      <c r="E22" s="20">
        <f>IF(AND('CalculSpeeTile10+SpeeTherm15-30'!$K$24=4, 'CalculSpeeTile10+SpeeTherm15-30'!$V$24=4, 'CalculSpeeTile10+SpeeTherm15-30'!$AG$24=4), 3,
IF(OR(AND('CalculSpeeTile10+SpeeTherm15-30'!$K$24=4, 'CalculSpeeTile10+SpeeTherm15-30'!$V$24=4),
      AND('CalculSpeeTile10+SpeeTherm15-30'!$K$24=4, 'CalculSpeeTile10+SpeeTherm15-30'!$AG$24=4),
      AND('CalculSpeeTile10+SpeeTherm15-30'!$V$24=4, 'CalculSpeeTile10+SpeeTherm15-30'!$AG$24=4)), 2,
IF(OR('CalculSpeeTile10+SpeeTherm15-30'!$K$24=4, 'CalculSpeeTile10+SpeeTherm15-30'!$V$24=4, 'CalculSpeeTile10+SpeeTherm15-30'!$AG$24=4), 1, 0)))</f>
        <v>0</v>
      </c>
      <c r="F22" s="383">
        <v>136</v>
      </c>
      <c r="G22" s="335">
        <f t="shared" si="2"/>
        <v>0</v>
      </c>
      <c r="H22" s="330">
        <f t="shared" si="3"/>
        <v>0</v>
      </c>
      <c r="I22" s="331"/>
      <c r="J22" s="5"/>
      <c r="K22" s="5"/>
      <c r="L22" s="5"/>
      <c r="M22" s="5"/>
      <c r="N22" s="5"/>
      <c r="O22" s="5"/>
      <c r="P22" s="5"/>
      <c r="Q22" s="5"/>
    </row>
    <row r="23" spans="1:17" ht="18" customHeight="1" thickBot="1">
      <c r="A23" s="334"/>
      <c r="B23" s="260" t="s">
        <v>23</v>
      </c>
      <c r="C23" s="332" t="s">
        <v>444</v>
      </c>
      <c r="D23" s="260" t="s">
        <v>11</v>
      </c>
      <c r="E23" s="20">
        <f>IF(AND('CalculSpeeTile10+SpeeTherm15-30'!$K$24=5, 'CalculSpeeTile10+SpeeTherm15-30'!$V$24=5, 'CalculSpeeTile10+SpeeTherm15-30'!$AG$24=5), 3,
IF(OR(AND('CalculSpeeTile10+SpeeTherm15-30'!$K$24=5, 'CalculSpeeTile10+SpeeTherm15-30'!$V$24=5),
      AND('CalculSpeeTile10+SpeeTherm15-30'!$K$24=5, 'CalculSpeeTile10+SpeeTherm15-30'!$AG$24=5),
      AND('CalculSpeeTile10+SpeeTherm15-30'!$V$24=5, 'CalculSpeeTile10+SpeeTherm15-30'!$AG$24=5)), 2,
IF(OR('CalculSpeeTile10+SpeeTherm15-30'!$K$24=5, 'CalculSpeeTile10+SpeeTherm15-30'!$V$24=5, 'CalculSpeeTile10+SpeeTherm15-30'!$AG$24=5), 1, 0)))</f>
        <v>0</v>
      </c>
      <c r="F23" s="383">
        <v>151</v>
      </c>
      <c r="G23" s="335">
        <f t="shared" si="2"/>
        <v>0</v>
      </c>
      <c r="H23" s="330">
        <f t="shared" si="3"/>
        <v>0</v>
      </c>
      <c r="I23" s="331"/>
      <c r="J23" s="5"/>
      <c r="K23" s="5"/>
      <c r="L23" s="5"/>
      <c r="M23" s="5"/>
      <c r="N23" s="5"/>
      <c r="O23" s="5"/>
      <c r="P23" s="5"/>
      <c r="Q23" s="5"/>
    </row>
    <row r="24" spans="1:17" ht="18" customHeight="1" thickBot="1">
      <c r="A24" s="334"/>
      <c r="B24" s="260" t="s">
        <v>22</v>
      </c>
      <c r="C24" s="332" t="s">
        <v>445</v>
      </c>
      <c r="D24" s="260" t="s">
        <v>11</v>
      </c>
      <c r="E24" s="20">
        <f>IF(AND('CalculSpeeTile10+SpeeTherm15-30'!$K$24=6, 'CalculSpeeTile10+SpeeTherm15-30'!$V$24=6, 'CalculSpeeTile10+SpeeTherm15-30'!$AG$24=6), 3,
IF(OR(AND('CalculSpeeTile10+SpeeTherm15-30'!$K$24=6, 'CalculSpeeTile10+SpeeTherm15-30'!$V$24=6),
      AND('CalculSpeeTile10+SpeeTherm15-30'!$K$24=6, 'CalculSpeeTile10+SpeeTherm15-30'!$AG$24=6),
      AND('CalculSpeeTile10+SpeeTherm15-30'!$V$24=6, 'CalculSpeeTile10+SpeeTherm15-30'!$AG$24=6)), 2,
IF(OR('CalculSpeeTile10+SpeeTherm15-30'!$K$24=6, 'CalculSpeeTile10+SpeeTherm15-30'!$V$24=6, 'CalculSpeeTile10+SpeeTherm15-30'!$AG$24=6), 1, 0)))</f>
        <v>0</v>
      </c>
      <c r="F24" s="383">
        <v>168</v>
      </c>
      <c r="G24" s="335">
        <f t="shared" si="2"/>
        <v>0</v>
      </c>
      <c r="H24" s="330">
        <f t="shared" si="3"/>
        <v>0</v>
      </c>
      <c r="I24" s="331"/>
      <c r="J24" s="5"/>
      <c r="K24" s="5"/>
      <c r="L24" s="5"/>
      <c r="M24" s="5"/>
      <c r="N24" s="5"/>
      <c r="O24" s="5"/>
      <c r="P24" s="5"/>
      <c r="Q24" s="5"/>
    </row>
    <row r="25" spans="1:17" ht="18" customHeight="1" thickBot="1">
      <c r="A25" s="334"/>
      <c r="B25" s="260" t="s">
        <v>21</v>
      </c>
      <c r="C25" s="332" t="s">
        <v>446</v>
      </c>
      <c r="D25" s="260" t="s">
        <v>11</v>
      </c>
      <c r="E25" s="20">
        <f>IF(AND('CalculSpeeTile10+SpeeTherm15-30'!$K$24=7, 'CalculSpeeTile10+SpeeTherm15-30'!$V$24=7, 'CalculSpeeTile10+SpeeTherm15-30'!$AG$24=7), 3,
IF(OR(AND('CalculSpeeTile10+SpeeTherm15-30'!$K$24=7, 'CalculSpeeTile10+SpeeTherm15-30'!$V$24=7),
      AND('CalculSpeeTile10+SpeeTherm15-30'!$K$24=7, 'CalculSpeeTile10+SpeeTherm15-30'!$AG$24=7),
      AND('CalculSpeeTile10+SpeeTherm15-30'!$V$24=7, 'CalculSpeeTile10+SpeeTherm15-30'!$AG$24=7)), 2,
IF(OR('CalculSpeeTile10+SpeeTherm15-30'!$K$24=7, 'CalculSpeeTile10+SpeeTherm15-30'!$V$24=7, 'CalculSpeeTile10+SpeeTherm15-30'!$AG$24=7), 1, 0)))</f>
        <v>0</v>
      </c>
      <c r="F25" s="383">
        <v>184</v>
      </c>
      <c r="G25" s="335">
        <f t="shared" si="2"/>
        <v>0</v>
      </c>
      <c r="H25" s="330">
        <f t="shared" si="3"/>
        <v>0</v>
      </c>
      <c r="I25" s="331"/>
      <c r="J25" s="5"/>
      <c r="K25" s="5"/>
      <c r="L25" s="5"/>
      <c r="M25" s="5" t="s">
        <v>85</v>
      </c>
      <c r="N25" s="5"/>
      <c r="O25" s="5"/>
      <c r="P25" s="5"/>
      <c r="Q25" s="5"/>
    </row>
    <row r="26" spans="1:17" ht="18" customHeight="1" thickBot="1">
      <c r="A26" s="334"/>
      <c r="B26" s="260" t="s">
        <v>38</v>
      </c>
      <c r="C26" s="332" t="s">
        <v>447</v>
      </c>
      <c r="D26" s="260" t="s">
        <v>11</v>
      </c>
      <c r="E26" s="20">
        <f>IF(AND('CalculSpeeTile10+SpeeTherm15-30'!$K$24=8, 'CalculSpeeTile10+SpeeTherm15-30'!$V$24=8, 'CalculSpeeTile10+SpeeTherm15-30'!$AG$24=8), 3,
IF(OR(AND('CalculSpeeTile10+SpeeTherm15-30'!$K$24=8, 'CalculSpeeTile10+SpeeTherm15-30'!$V$24=8),
      AND('CalculSpeeTile10+SpeeTherm15-30'!$K$24=8, 'CalculSpeeTile10+SpeeTherm15-30'!$AG$24=8),
      AND('CalculSpeeTile10+SpeeTherm15-30'!$V$24=8, 'CalculSpeeTile10+SpeeTherm15-30'!$AG$24=8)), 2,
IF(OR('CalculSpeeTile10+SpeeTherm15-30'!$K$24=8, 'CalculSpeeTile10+SpeeTherm15-30'!$V$24=8, 'CalculSpeeTile10+SpeeTherm15-30'!$AG$24=8), 1, 0)))</f>
        <v>0</v>
      </c>
      <c r="F26" s="383">
        <v>200</v>
      </c>
      <c r="G26" s="335">
        <f t="shared" si="2"/>
        <v>0</v>
      </c>
      <c r="H26" s="330">
        <f t="shared" si="3"/>
        <v>0</v>
      </c>
      <c r="I26" s="331"/>
      <c r="J26" s="5"/>
      <c r="K26" s="5"/>
      <c r="L26" s="5"/>
      <c r="M26" s="5"/>
      <c r="N26" s="5"/>
      <c r="O26" s="5"/>
      <c r="P26" s="5"/>
      <c r="Q26" s="5"/>
    </row>
    <row r="27" spans="1:17" ht="18" customHeight="1" thickBot="1">
      <c r="A27" s="334"/>
      <c r="B27" s="260" t="s">
        <v>39</v>
      </c>
      <c r="C27" s="332" t="s">
        <v>448</v>
      </c>
      <c r="D27" s="260" t="s">
        <v>11</v>
      </c>
      <c r="E27" s="20">
        <f>IF(AND('CalculSpeeTile10+SpeeTherm15-30'!$K$24=9, 'CalculSpeeTile10+SpeeTherm15-30'!$V$24=9, 'CalculSpeeTile10+SpeeTherm15-30'!$AG$24=9), 3,
IF(OR(AND('CalculSpeeTile10+SpeeTherm15-30'!$K$24=9, 'CalculSpeeTile10+SpeeTherm15-30'!$V$24=9),
      AND('CalculSpeeTile10+SpeeTherm15-30'!$K$24=9, 'CalculSpeeTile10+SpeeTherm15-30'!$AG$24=9),
      AND('CalculSpeeTile10+SpeeTherm15-30'!$V$24=9, 'CalculSpeeTile10+SpeeTherm15-30'!$AG$24=9)), 2,
IF(OR('CalculSpeeTile10+SpeeTherm15-30'!$K$24=9, 'CalculSpeeTile10+SpeeTherm15-30'!$V$24=9, 'CalculSpeeTile10+SpeeTherm15-30'!$AG$24=9), 1, 0)))</f>
        <v>0</v>
      </c>
      <c r="F27" s="383">
        <v>215</v>
      </c>
      <c r="G27" s="335">
        <f t="shared" si="2"/>
        <v>0</v>
      </c>
      <c r="H27" s="330">
        <f t="shared" si="3"/>
        <v>0</v>
      </c>
      <c r="I27" s="331"/>
      <c r="J27" s="5"/>
      <c r="K27" s="5"/>
      <c r="L27" s="5"/>
      <c r="M27" s="5"/>
      <c r="N27" s="5"/>
      <c r="O27" s="5"/>
      <c r="P27" s="5"/>
      <c r="Q27" s="5"/>
    </row>
    <row r="28" spans="1:17" ht="18" customHeight="1" thickBot="1">
      <c r="A28" s="334"/>
      <c r="B28" s="260" t="s">
        <v>40</v>
      </c>
      <c r="C28" s="332" t="s">
        <v>449</v>
      </c>
      <c r="D28" s="260" t="s">
        <v>11</v>
      </c>
      <c r="E28" s="20">
        <f>IF(AND('CalculSpeeTile10+SpeeTherm15-30'!$K$24=10, 'CalculSpeeTile10+SpeeTherm15-30'!$V$24=10, 'CalculSpeeTile10+SpeeTherm15-30'!$AG$24=10), 3,
IF(OR(AND('CalculSpeeTile10+SpeeTherm15-30'!$K$24=10, 'CalculSpeeTile10+SpeeTherm15-30'!$V$24=10),
      AND('CalculSpeeTile10+SpeeTherm15-30'!$K$24=10, 'CalculSpeeTile10+SpeeTherm15-30'!$AG$24=10),
      AND('CalculSpeeTile10+SpeeTherm15-30'!$V$24=10, 'CalculSpeeTile10+SpeeTherm15-30'!$AG$24=10)), 2,
IF(OR('CalculSpeeTile10+SpeeTherm15-30'!$K$24=10, 'CalculSpeeTile10+SpeeTherm15-30'!$V$24=10, 'CalculSpeeTile10+SpeeTherm15-30'!$AG$24=10), 1, 0)))</f>
        <v>0</v>
      </c>
      <c r="F28" s="383">
        <v>233</v>
      </c>
      <c r="G28" s="335">
        <f t="shared" si="2"/>
        <v>0</v>
      </c>
      <c r="H28" s="330">
        <f t="shared" si="3"/>
        <v>0</v>
      </c>
      <c r="I28" s="331"/>
      <c r="J28" s="5"/>
      <c r="K28" s="5"/>
      <c r="L28" s="5"/>
      <c r="M28" s="5"/>
      <c r="N28" s="5"/>
      <c r="O28" s="5"/>
      <c r="P28" s="5"/>
      <c r="Q28" s="5"/>
    </row>
    <row r="29" spans="1:17" ht="18" customHeight="1" thickBot="1">
      <c r="A29" s="334"/>
      <c r="B29" s="260" t="s">
        <v>41</v>
      </c>
      <c r="C29" s="332" t="s">
        <v>450</v>
      </c>
      <c r="D29" s="260" t="s">
        <v>11</v>
      </c>
      <c r="E29" s="20">
        <f>IF(AND('CalculSpeeTile10+SpeeTherm15-30'!$K$24=11, 'CalculSpeeTile10+SpeeTherm15-30'!$V$24=11, 'CalculSpeeTile10+SpeeTherm15-30'!$AG$24=11), 3,
IF(OR(AND('CalculSpeeTile10+SpeeTherm15-30'!$K$24=11, 'CalculSpeeTile10+SpeeTherm15-30'!$V$24=11),
      AND('CalculSpeeTile10+SpeeTherm15-30'!$K$24=11, 'CalculSpeeTile10+SpeeTherm15-30'!$AG$24=11),
      AND('CalculSpeeTile10+SpeeTherm15-30'!$V$24=11, 'CalculSpeeTile10+SpeeTherm15-30'!$AG$24=11)), 2,
IF(OR('CalculSpeeTile10+SpeeTherm15-30'!$K$24=11, 'CalculSpeeTile10+SpeeTherm15-30'!$V$24=11, 'CalculSpeeTile10+SpeeTherm15-30'!$AG$24=11), 1, 0)))</f>
        <v>0</v>
      </c>
      <c r="F29" s="383">
        <v>247</v>
      </c>
      <c r="G29" s="335">
        <f t="shared" si="2"/>
        <v>0</v>
      </c>
      <c r="H29" s="330">
        <f t="shared" si="3"/>
        <v>0</v>
      </c>
      <c r="I29" s="331"/>
      <c r="J29" s="5"/>
      <c r="K29" s="5"/>
      <c r="L29" s="5"/>
      <c r="M29" s="5"/>
      <c r="N29" s="5"/>
      <c r="O29" s="5"/>
      <c r="P29" s="5"/>
      <c r="Q29" s="5"/>
    </row>
    <row r="30" spans="1:17" ht="18" customHeight="1" thickBot="1">
      <c r="A30" s="334"/>
      <c r="B30" s="260" t="s">
        <v>42</v>
      </c>
      <c r="C30" s="332" t="s">
        <v>451</v>
      </c>
      <c r="D30" s="260" t="s">
        <v>11</v>
      </c>
      <c r="E30" s="20">
        <f>IF(AND('CalculSpeeTile10+SpeeTherm15-30'!$K$24=12, 'CalculSpeeTile10+SpeeTherm15-30'!$V$24=12, 'CalculSpeeTile10+SpeeTherm15-30'!$AG$24=12), 3,
IF(OR(AND('CalculSpeeTile10+SpeeTherm15-30'!$K$24=12, 'CalculSpeeTile10+SpeeTherm15-30'!$V$24=12),
      AND('CalculSpeeTile10+SpeeTherm15-30'!$K$24=12, 'CalculSpeeTile10+SpeeTherm15-30'!$AG$24=12),
      AND('CalculSpeeTile10+SpeeTherm15-30'!$V$24=12, 'CalculSpeeTile10+SpeeTherm15-30'!$AG$24=12)), 2,
IF(OR('CalculSpeeTile10+SpeeTherm15-30'!$K$24=12, 'CalculSpeeTile10+SpeeTherm15-30'!$V$24=12, 'CalculSpeeTile10+SpeeTherm15-30'!$AG$24=12), 1, 0)))</f>
        <v>0</v>
      </c>
      <c r="F30" s="383">
        <v>265</v>
      </c>
      <c r="G30" s="335">
        <f t="shared" si="2"/>
        <v>0</v>
      </c>
      <c r="H30" s="330">
        <f t="shared" si="3"/>
        <v>0</v>
      </c>
      <c r="I30" s="331"/>
      <c r="J30" s="5"/>
      <c r="K30" s="5"/>
      <c r="L30" s="5"/>
      <c r="M30" s="5"/>
      <c r="N30" s="5"/>
      <c r="O30" s="5"/>
      <c r="P30" s="5"/>
      <c r="Q30" s="5"/>
    </row>
    <row r="31" spans="1:17" ht="18" customHeight="1" thickBot="1">
      <c r="A31" s="334"/>
      <c r="B31" s="260" t="s">
        <v>43</v>
      </c>
      <c r="C31" s="332" t="s">
        <v>452</v>
      </c>
      <c r="D31" s="260" t="s">
        <v>11</v>
      </c>
      <c r="E31" s="20">
        <f>IF(AND('CalculSpeeTile10+SpeeTherm15-30'!$K$24=13, 'CalculSpeeTile10+SpeeTherm15-30'!$V$24=13, 'CalculSpeeTile10+SpeeTherm15-30'!$AG$24=13), 3,
IF(OR(AND('CalculSpeeTile10+SpeeTherm15-30'!$K$24=13, 'CalculSpeeTile10+SpeeTherm15-30'!$V$24=13),
      AND('CalculSpeeTile10+SpeeTherm15-30'!$K$24=13, 'CalculSpeeTile10+SpeeTherm15-30'!$AG$24=13),
      AND('CalculSpeeTile10+SpeeTherm15-30'!$V$24=13, 'CalculSpeeTile10+SpeeTherm15-30'!$AG$24=13)), 2,
IF(OR('CalculSpeeTile10+SpeeTherm15-30'!$K$24=13, 'CalculSpeeTile10+SpeeTherm15-30'!$V$24=13, 'CalculSpeeTile10+SpeeTherm15-30'!$AG$24=13), 1, 0)))</f>
        <v>0</v>
      </c>
      <c r="F31" s="383">
        <v>283</v>
      </c>
      <c r="G31" s="335">
        <f t="shared" si="2"/>
        <v>0</v>
      </c>
      <c r="H31" s="330">
        <f t="shared" si="3"/>
        <v>0</v>
      </c>
      <c r="I31" s="331"/>
      <c r="J31" s="5"/>
      <c r="K31" s="5"/>
      <c r="L31" s="5"/>
      <c r="M31" s="5"/>
      <c r="N31" s="5"/>
      <c r="O31" s="5"/>
      <c r="P31" s="5"/>
      <c r="Q31" s="5"/>
    </row>
    <row r="32" spans="1:17" ht="18" customHeight="1" thickBot="1">
      <c r="A32" s="334"/>
      <c r="B32" s="260" t="s">
        <v>44</v>
      </c>
      <c r="C32" s="332" t="s">
        <v>453</v>
      </c>
      <c r="D32" s="260" t="s">
        <v>11</v>
      </c>
      <c r="E32" s="20">
        <f>IF(AND('CalculSpeeTile10+SpeeTherm15-30'!$K$24=14, 'CalculSpeeTile10+SpeeTherm15-30'!$V$24=14, 'CalculSpeeTile10+SpeeTherm15-30'!$AG$24=14), 3,
IF(OR(AND('CalculSpeeTile10+SpeeTherm15-30'!$K$24=14, 'CalculSpeeTile10+SpeeTherm15-30'!$V$24=14),
      AND('CalculSpeeTile10+SpeeTherm15-30'!$K$24=14, 'CalculSpeeTile10+SpeeTherm15-30'!$AG$24=14),
      AND('CalculSpeeTile10+SpeeTherm15-30'!$V$24=14, 'CalculSpeeTile10+SpeeTherm15-30'!$AG$24=14)), 2,
IF(OR('CalculSpeeTile10+SpeeTherm15-30'!$K$24=14, 'CalculSpeeTile10+SpeeTherm15-30'!$V$24=14, 'CalculSpeeTile10+SpeeTherm15-30'!$AG$24=14), 1, 0)))</f>
        <v>0</v>
      </c>
      <c r="F32" s="383">
        <v>298</v>
      </c>
      <c r="G32" s="335">
        <f t="shared" si="2"/>
        <v>0</v>
      </c>
      <c r="H32" s="330">
        <f t="shared" si="3"/>
        <v>0</v>
      </c>
      <c r="I32" s="331"/>
      <c r="J32" s="5"/>
      <c r="K32" s="5"/>
      <c r="L32" s="5"/>
      <c r="M32" s="5"/>
      <c r="N32" s="5"/>
      <c r="O32" s="5"/>
      <c r="P32" s="5"/>
      <c r="Q32" s="5"/>
    </row>
    <row r="33" spans="1:17" ht="18" customHeight="1" thickBot="1">
      <c r="A33" s="334"/>
      <c r="B33" s="260" t="s">
        <v>45</v>
      </c>
      <c r="C33" s="332" t="s">
        <v>454</v>
      </c>
      <c r="D33" s="260" t="s">
        <v>11</v>
      </c>
      <c r="E33" s="20">
        <f>IF(AND('CalculSpeeTile10+SpeeTherm15-30'!$K$24=15, 'CalculSpeeTile10+SpeeTherm15-30'!$V$24=15, 'CalculSpeeTile10+SpeeTherm15-30'!$AG$24=15), 3,
IF(OR(AND('CalculSpeeTile10+SpeeTherm15-30'!$K$24=15, 'CalculSpeeTile10+SpeeTherm15-30'!$V$24=15),
      AND('CalculSpeeTile10+SpeeTherm15-30'!$K$24=15, 'CalculSpeeTile10+SpeeTherm15-30'!$AG$24=15),
      AND('CalculSpeeTile10+SpeeTherm15-30'!$V$24=15, 'CalculSpeeTile10+SpeeTherm15-30'!$AG$24=15)), 2,
IF(OR('CalculSpeeTile10+SpeeTherm15-30'!$K$24=15, 'CalculSpeeTile10+SpeeTherm15-30'!$V$24=15, 'CalculSpeeTile10+SpeeTherm15-30'!$AG$24=15), 1, 0)))</f>
        <v>0</v>
      </c>
      <c r="F33" s="383">
        <v>314</v>
      </c>
      <c r="G33" s="335">
        <f t="shared" si="2"/>
        <v>0</v>
      </c>
      <c r="H33" s="330">
        <f t="shared" si="3"/>
        <v>0</v>
      </c>
      <c r="I33" s="331"/>
      <c r="J33" s="5"/>
      <c r="K33" s="5"/>
      <c r="L33" s="5"/>
      <c r="M33" s="5"/>
      <c r="N33" s="5"/>
      <c r="O33" s="5"/>
      <c r="P33" s="5"/>
      <c r="Q33" s="5"/>
    </row>
    <row r="34" spans="1:17" ht="18" customHeight="1" thickBot="1">
      <c r="A34" s="346"/>
      <c r="B34" s="347" t="s">
        <v>128</v>
      </c>
      <c r="C34" s="348" t="s">
        <v>455</v>
      </c>
      <c r="D34" s="347" t="s">
        <v>11</v>
      </c>
      <c r="E34" s="384">
        <f>'CalculSpeeTile10+SpeeTherm15-30'!F24</f>
        <v>0</v>
      </c>
      <c r="F34" s="385">
        <v>342</v>
      </c>
      <c r="G34" s="350">
        <f t="shared" si="2"/>
        <v>0</v>
      </c>
      <c r="H34" s="330">
        <f t="shared" si="3"/>
        <v>0</v>
      </c>
      <c r="I34" s="331"/>
      <c r="J34" s="5"/>
      <c r="K34" s="5"/>
      <c r="L34" s="5"/>
      <c r="M34" s="5"/>
      <c r="N34" s="5"/>
      <c r="O34" s="5"/>
      <c r="P34" s="5"/>
      <c r="Q34" s="5"/>
    </row>
    <row r="35" spans="1:17" ht="18" customHeight="1" thickTop="1" thickBot="1">
      <c r="A35" s="589" t="s">
        <v>456</v>
      </c>
      <c r="B35" s="590"/>
      <c r="C35" s="590"/>
      <c r="D35" s="386"/>
      <c r="E35" s="386"/>
      <c r="F35" s="386"/>
      <c r="G35" s="387"/>
      <c r="H35" s="248">
        <f>SUM(H36:H46)</f>
        <v>0</v>
      </c>
      <c r="I35" s="341"/>
      <c r="J35" s="192"/>
      <c r="K35" s="46"/>
      <c r="L35" s="46"/>
      <c r="M35" s="46"/>
      <c r="N35" s="46"/>
      <c r="O35" s="46"/>
      <c r="P35" s="5"/>
      <c r="Q35" s="5"/>
    </row>
    <row r="36" spans="1:17" ht="18" customHeight="1" thickTop="1" thickBot="1">
      <c r="A36" s="326"/>
      <c r="B36" s="388" t="s">
        <v>457</v>
      </c>
      <c r="C36" s="389" t="s">
        <v>458</v>
      </c>
      <c r="D36" s="327" t="s">
        <v>11</v>
      </c>
      <c r="E36" s="314">
        <v>0</v>
      </c>
      <c r="F36" s="378">
        <v>158</v>
      </c>
      <c r="G36" s="329">
        <f t="shared" ref="G36:G46" si="4">E36*F36</f>
        <v>0</v>
      </c>
      <c r="H36" s="330">
        <f t="shared" ref="H36:H46" si="5">E36</f>
        <v>0</v>
      </c>
      <c r="I36" s="331"/>
      <c r="J36" s="46"/>
      <c r="K36" s="46"/>
      <c r="L36" s="46"/>
      <c r="M36" s="46"/>
      <c r="N36" s="46"/>
      <c r="O36" s="46"/>
      <c r="P36" s="5"/>
      <c r="Q36" s="5"/>
    </row>
    <row r="37" spans="1:17" ht="18" customHeight="1" thickBot="1">
      <c r="A37" s="334"/>
      <c r="B37" s="390" t="s">
        <v>459</v>
      </c>
      <c r="C37" s="261" t="s">
        <v>460</v>
      </c>
      <c r="D37" s="260" t="s">
        <v>11</v>
      </c>
      <c r="E37" s="314">
        <v>0</v>
      </c>
      <c r="F37" s="383">
        <v>182</v>
      </c>
      <c r="G37" s="335">
        <f t="shared" si="4"/>
        <v>0</v>
      </c>
      <c r="H37" s="330">
        <f t="shared" si="5"/>
        <v>0</v>
      </c>
      <c r="I37" s="331"/>
      <c r="J37" s="46"/>
      <c r="K37" s="46"/>
      <c r="L37" s="46"/>
      <c r="M37" s="46"/>
      <c r="N37" s="46"/>
      <c r="O37" s="46"/>
      <c r="P37" s="5"/>
      <c r="Q37" s="5"/>
    </row>
    <row r="38" spans="1:17" ht="18" customHeight="1" thickBot="1">
      <c r="A38" s="334"/>
      <c r="B38" s="390" t="s">
        <v>461</v>
      </c>
      <c r="C38" s="261" t="s">
        <v>462</v>
      </c>
      <c r="D38" s="260" t="s">
        <v>11</v>
      </c>
      <c r="E38" s="314">
        <v>0</v>
      </c>
      <c r="F38" s="383">
        <v>202</v>
      </c>
      <c r="G38" s="335">
        <f t="shared" si="4"/>
        <v>0</v>
      </c>
      <c r="H38" s="330">
        <f t="shared" si="5"/>
        <v>0</v>
      </c>
      <c r="I38" s="331"/>
      <c r="J38" s="5"/>
      <c r="K38" s="5"/>
      <c r="L38" s="5"/>
      <c r="M38" s="5"/>
      <c r="N38" s="5"/>
      <c r="O38" s="5"/>
      <c r="P38" s="5"/>
      <c r="Q38" s="5"/>
    </row>
    <row r="39" spans="1:17" ht="18" customHeight="1" thickBot="1">
      <c r="A39" s="334"/>
      <c r="B39" s="390" t="s">
        <v>463</v>
      </c>
      <c r="C39" s="261" t="s">
        <v>464</v>
      </c>
      <c r="D39" s="260" t="s">
        <v>11</v>
      </c>
      <c r="E39" s="314">
        <v>0</v>
      </c>
      <c r="F39" s="383">
        <v>228</v>
      </c>
      <c r="G39" s="335">
        <f t="shared" si="4"/>
        <v>0</v>
      </c>
      <c r="H39" s="330">
        <f t="shared" si="5"/>
        <v>0</v>
      </c>
      <c r="I39" s="331"/>
      <c r="J39" s="5"/>
      <c r="K39" s="5"/>
      <c r="L39" s="5"/>
      <c r="M39" s="5"/>
      <c r="N39" s="5"/>
      <c r="O39" s="5"/>
      <c r="P39" s="5"/>
      <c r="Q39" s="5"/>
    </row>
    <row r="40" spans="1:17" ht="18" customHeight="1" thickBot="1">
      <c r="A40" s="334"/>
      <c r="B40" s="390" t="s">
        <v>465</v>
      </c>
      <c r="C40" s="261" t="s">
        <v>466</v>
      </c>
      <c r="D40" s="260" t="s">
        <v>11</v>
      </c>
      <c r="E40" s="314">
        <v>0</v>
      </c>
      <c r="F40" s="383">
        <v>252</v>
      </c>
      <c r="G40" s="335">
        <f t="shared" si="4"/>
        <v>0</v>
      </c>
      <c r="H40" s="330">
        <f t="shared" si="5"/>
        <v>0</v>
      </c>
      <c r="I40" s="331"/>
      <c r="J40" s="5"/>
      <c r="K40" s="5"/>
      <c r="L40" s="5"/>
      <c r="M40" s="5"/>
      <c r="N40" s="5"/>
      <c r="O40" s="5"/>
      <c r="P40" s="5"/>
      <c r="Q40" s="5"/>
    </row>
    <row r="41" spans="1:17" ht="18" customHeight="1" thickBot="1">
      <c r="A41" s="334"/>
      <c r="B41" s="390" t="s">
        <v>467</v>
      </c>
      <c r="C41" s="261" t="s">
        <v>468</v>
      </c>
      <c r="D41" s="260" t="s">
        <v>11</v>
      </c>
      <c r="E41" s="314">
        <v>0</v>
      </c>
      <c r="F41" s="383">
        <v>274</v>
      </c>
      <c r="G41" s="335">
        <f t="shared" si="4"/>
        <v>0</v>
      </c>
      <c r="H41" s="330">
        <f t="shared" si="5"/>
        <v>0</v>
      </c>
      <c r="I41" s="331"/>
      <c r="J41" s="5"/>
      <c r="K41" s="5"/>
      <c r="L41" s="5"/>
      <c r="M41" s="5" t="s">
        <v>85</v>
      </c>
      <c r="N41" s="5"/>
      <c r="O41" s="5"/>
      <c r="P41" s="5"/>
      <c r="Q41" s="5"/>
    </row>
    <row r="42" spans="1:17" ht="18" customHeight="1" thickBot="1">
      <c r="A42" s="334"/>
      <c r="B42" s="390" t="s">
        <v>469</v>
      </c>
      <c r="C42" s="261" t="s">
        <v>470</v>
      </c>
      <c r="D42" s="260" t="s">
        <v>11</v>
      </c>
      <c r="E42" s="314">
        <v>0</v>
      </c>
      <c r="F42" s="383">
        <v>294</v>
      </c>
      <c r="G42" s="335">
        <f t="shared" si="4"/>
        <v>0</v>
      </c>
      <c r="H42" s="330">
        <f t="shared" si="5"/>
        <v>0</v>
      </c>
      <c r="I42" s="331"/>
      <c r="J42" s="5"/>
      <c r="K42" s="5"/>
      <c r="L42" s="5"/>
      <c r="M42" s="5"/>
      <c r="N42" s="5"/>
      <c r="O42" s="5"/>
      <c r="P42" s="5"/>
      <c r="Q42" s="5"/>
    </row>
    <row r="43" spans="1:17" ht="18" customHeight="1" thickBot="1">
      <c r="A43" s="334"/>
      <c r="B43" s="390" t="s">
        <v>471</v>
      </c>
      <c r="C43" s="261" t="s">
        <v>472</v>
      </c>
      <c r="D43" s="260" t="s">
        <v>11</v>
      </c>
      <c r="E43" s="314">
        <v>0</v>
      </c>
      <c r="F43" s="383">
        <v>318</v>
      </c>
      <c r="G43" s="335">
        <f t="shared" si="4"/>
        <v>0</v>
      </c>
      <c r="H43" s="330">
        <f t="shared" si="5"/>
        <v>0</v>
      </c>
      <c r="I43" s="331"/>
      <c r="J43" s="5"/>
      <c r="K43" s="5"/>
      <c r="L43" s="5"/>
      <c r="M43" s="5"/>
      <c r="N43" s="5"/>
      <c r="O43" s="5"/>
      <c r="P43" s="5"/>
      <c r="Q43" s="5"/>
    </row>
    <row r="44" spans="1:17" ht="18" customHeight="1" thickBot="1">
      <c r="A44" s="334"/>
      <c r="B44" s="390" t="s">
        <v>473</v>
      </c>
      <c r="C44" s="261" t="s">
        <v>474</v>
      </c>
      <c r="D44" s="260" t="s">
        <v>11</v>
      </c>
      <c r="E44" s="314">
        <v>0</v>
      </c>
      <c r="F44" s="383">
        <v>342</v>
      </c>
      <c r="G44" s="335">
        <f t="shared" si="4"/>
        <v>0</v>
      </c>
      <c r="H44" s="330">
        <f t="shared" si="5"/>
        <v>0</v>
      </c>
      <c r="I44" s="331"/>
      <c r="J44" s="5"/>
      <c r="K44" s="5"/>
      <c r="L44" s="5"/>
      <c r="M44" s="5"/>
      <c r="N44" s="5"/>
      <c r="O44" s="5"/>
      <c r="P44" s="5"/>
      <c r="Q44" s="5"/>
    </row>
    <row r="45" spans="1:17" ht="18" customHeight="1" thickBot="1">
      <c r="A45" s="334"/>
      <c r="B45" s="390" t="s">
        <v>475</v>
      </c>
      <c r="C45" s="261" t="s">
        <v>476</v>
      </c>
      <c r="D45" s="260" t="s">
        <v>11</v>
      </c>
      <c r="E45" s="314">
        <v>0</v>
      </c>
      <c r="F45" s="383">
        <v>362</v>
      </c>
      <c r="G45" s="335">
        <f t="shared" si="4"/>
        <v>0</v>
      </c>
      <c r="H45" s="330">
        <f t="shared" si="5"/>
        <v>0</v>
      </c>
      <c r="I45" s="331"/>
      <c r="J45" s="5"/>
      <c r="K45" s="5"/>
      <c r="L45" s="5"/>
      <c r="M45" s="5"/>
      <c r="N45" s="5"/>
      <c r="O45" s="5"/>
      <c r="P45" s="5"/>
      <c r="Q45" s="5"/>
    </row>
    <row r="46" spans="1:17" ht="18" customHeight="1" thickBot="1">
      <c r="A46" s="346"/>
      <c r="B46" s="391" t="s">
        <v>477</v>
      </c>
      <c r="C46" s="392" t="s">
        <v>478</v>
      </c>
      <c r="D46" s="347" t="s">
        <v>11</v>
      </c>
      <c r="E46" s="314">
        <v>0</v>
      </c>
      <c r="F46" s="385">
        <v>382</v>
      </c>
      <c r="G46" s="350">
        <f t="shared" si="4"/>
        <v>0</v>
      </c>
      <c r="H46" s="330">
        <f t="shared" si="5"/>
        <v>0</v>
      </c>
      <c r="I46" s="331"/>
      <c r="J46" s="5"/>
      <c r="K46" s="5"/>
      <c r="L46" s="5"/>
      <c r="M46" s="5"/>
      <c r="N46" s="5"/>
      <c r="O46" s="5"/>
      <c r="P46" s="5"/>
      <c r="Q46" s="5"/>
    </row>
    <row r="47" spans="1:17" ht="18" customHeight="1" thickTop="1" thickBot="1">
      <c r="A47" s="585" t="s">
        <v>479</v>
      </c>
      <c r="B47" s="586"/>
      <c r="C47" s="586"/>
      <c r="D47" s="381"/>
      <c r="E47" s="381"/>
      <c r="F47" s="381"/>
      <c r="G47" s="382"/>
      <c r="H47" s="248">
        <f>SUM(H48:H54)</f>
        <v>0</v>
      </c>
      <c r="I47" s="341"/>
      <c r="J47" s="5"/>
      <c r="K47" s="5"/>
      <c r="L47" s="5"/>
      <c r="M47" s="5"/>
      <c r="N47" s="5"/>
      <c r="O47" s="5"/>
      <c r="P47" s="5"/>
      <c r="Q47" s="5"/>
    </row>
    <row r="48" spans="1:17" ht="18" customHeight="1" thickTop="1" thickBot="1">
      <c r="A48" s="326"/>
      <c r="B48" s="327" t="s">
        <v>129</v>
      </c>
      <c r="C48" s="328" t="s">
        <v>420</v>
      </c>
      <c r="D48" s="327" t="s">
        <v>11</v>
      </c>
      <c r="E48" s="327"/>
      <c r="F48" s="378">
        <v>54</v>
      </c>
      <c r="G48" s="329">
        <f t="shared" ref="G48:G54" si="6">E48*F48</f>
        <v>0</v>
      </c>
      <c r="H48" s="330">
        <f t="shared" ref="H48:H54" si="7">E48</f>
        <v>0</v>
      </c>
      <c r="I48" s="331"/>
      <c r="J48" s="5"/>
      <c r="K48" s="5"/>
      <c r="L48" s="5"/>
      <c r="M48" s="5"/>
      <c r="N48" s="5"/>
      <c r="O48" s="5"/>
      <c r="P48" s="5"/>
      <c r="Q48" s="5"/>
    </row>
    <row r="49" spans="1:17" ht="18" customHeight="1" thickBot="1">
      <c r="A49" s="326"/>
      <c r="B49" s="327" t="s">
        <v>418</v>
      </c>
      <c r="C49" s="328" t="s">
        <v>419</v>
      </c>
      <c r="D49" s="327" t="s">
        <v>11</v>
      </c>
      <c r="E49" s="327"/>
      <c r="F49" s="378">
        <v>58</v>
      </c>
      <c r="G49" s="329">
        <f t="shared" si="6"/>
        <v>0</v>
      </c>
      <c r="H49" s="330">
        <f t="shared" si="7"/>
        <v>0</v>
      </c>
      <c r="I49" s="331"/>
      <c r="J49" s="5"/>
      <c r="K49" s="5"/>
      <c r="L49" s="5"/>
      <c r="M49" s="5"/>
      <c r="N49" s="5"/>
      <c r="O49" s="5"/>
      <c r="P49" s="5"/>
      <c r="Q49" s="5"/>
    </row>
    <row r="50" spans="1:17" ht="18" customHeight="1" thickBot="1">
      <c r="A50" s="334"/>
      <c r="B50" s="260" t="s">
        <v>421</v>
      </c>
      <c r="C50" s="332" t="s">
        <v>422</v>
      </c>
      <c r="D50" s="260" t="s">
        <v>11</v>
      </c>
      <c r="E50" s="333">
        <f>--OR('CalculSpeeTile10+SpeeTherm15-30'!$K$24=2,'CalculSpeeTile10+SpeeTherm15-30'!$K$24=3)
 +--OR('CalculSpeeTile10+SpeeTherm15-30'!$V$24=2,'CalculSpeeTile10+SpeeTherm15-30'!$V$24=3)
 +--OR('CalculSpeeTile10+SpeeTherm15-30'!$AG$24=2,'CalculSpeeTile10+SpeeTherm15-30'!$AG$24=3)</f>
        <v>0</v>
      </c>
      <c r="F50" s="383">
        <v>76</v>
      </c>
      <c r="G50" s="335">
        <f t="shared" si="6"/>
        <v>0</v>
      </c>
      <c r="H50" s="330">
        <f t="shared" si="7"/>
        <v>0</v>
      </c>
      <c r="I50" s="331"/>
      <c r="J50" s="5"/>
      <c r="K50" s="5"/>
      <c r="L50" s="5"/>
      <c r="M50" s="5"/>
      <c r="N50" s="5"/>
      <c r="O50" s="5"/>
      <c r="P50" s="5"/>
      <c r="Q50" s="5"/>
    </row>
    <row r="51" spans="1:17" ht="18" customHeight="1" thickBot="1">
      <c r="A51" s="334"/>
      <c r="B51" s="260" t="s">
        <v>412</v>
      </c>
      <c r="C51" s="332" t="s">
        <v>423</v>
      </c>
      <c r="D51" s="260" t="s">
        <v>11</v>
      </c>
      <c r="E51" s="333" cm="1">
        <f t="array" ref="E51">--OR('CalculSpeeTile10+SpeeTherm15-30'!$K$24={4,5,6,7})
 +--OR('CalculSpeeTile10+SpeeTherm15-30'!$V$24={4,5,6,7})
 +--OR('CalculSpeeTile10+SpeeTherm15-30'!$AG$24={4,5,6,7})</f>
        <v>0</v>
      </c>
      <c r="F51" s="383">
        <v>82</v>
      </c>
      <c r="G51" s="335">
        <f t="shared" si="6"/>
        <v>0</v>
      </c>
      <c r="H51" s="330">
        <f t="shared" si="7"/>
        <v>0</v>
      </c>
      <c r="I51" s="331"/>
      <c r="J51" s="5"/>
      <c r="K51" s="5"/>
      <c r="L51" s="5"/>
      <c r="M51" s="5"/>
      <c r="N51" s="5"/>
      <c r="O51" s="5"/>
      <c r="P51" s="5"/>
      <c r="Q51" s="5"/>
    </row>
    <row r="52" spans="1:17" ht="18" customHeight="1" thickBot="1">
      <c r="A52" s="334"/>
      <c r="B52" s="260" t="s">
        <v>130</v>
      </c>
      <c r="C52" s="332" t="s">
        <v>424</v>
      </c>
      <c r="D52" s="260" t="s">
        <v>11</v>
      </c>
      <c r="E52" s="333" cm="1">
        <f t="array" ref="E52">--OR('CalculSpeeTile10+SpeeTherm15-30'!$K$24={8,9,10,11})
 +--OR('CalculSpeeTile10+SpeeTherm15-30'!$V$24={8,9,10,11})
 +--OR('CalculSpeeTile10+SpeeTherm15-30'!$AG$24={8,9,10,11})</f>
        <v>0</v>
      </c>
      <c r="F52" s="383">
        <v>96</v>
      </c>
      <c r="G52" s="335">
        <f t="shared" si="6"/>
        <v>0</v>
      </c>
      <c r="H52" s="330">
        <f t="shared" si="7"/>
        <v>0</v>
      </c>
      <c r="I52" s="331"/>
      <c r="J52" s="5"/>
      <c r="K52" s="5"/>
      <c r="L52" s="5"/>
      <c r="M52" s="5"/>
      <c r="N52" s="5"/>
      <c r="O52" s="5"/>
      <c r="P52" s="5"/>
      <c r="Q52" s="5"/>
    </row>
    <row r="53" spans="1:17" ht="18" customHeight="1" thickBot="1">
      <c r="A53" s="334"/>
      <c r="B53" s="260" t="s">
        <v>131</v>
      </c>
      <c r="C53" s="332" t="s">
        <v>425</v>
      </c>
      <c r="D53" s="260" t="s">
        <v>11</v>
      </c>
      <c r="E53" s="333" cm="1">
        <f t="array" ref="E53">--OR('CalculSpeeTile10+SpeeTherm15-30'!$K$24={12,13})
 +--OR('CalculSpeeTile10+SpeeTherm15-30'!$V$24={12,13})
 +--OR('CalculSpeeTile10+SpeeTherm15-30'!$AG$24={12,13})</f>
        <v>0</v>
      </c>
      <c r="F53" s="383">
        <v>102</v>
      </c>
      <c r="G53" s="335">
        <f t="shared" si="6"/>
        <v>0</v>
      </c>
      <c r="H53" s="330">
        <f t="shared" si="7"/>
        <v>0</v>
      </c>
      <c r="I53" s="331"/>
      <c r="J53" s="5"/>
      <c r="K53" s="5"/>
      <c r="L53" s="5"/>
      <c r="M53" s="5"/>
      <c r="N53" s="5"/>
      <c r="O53" s="5"/>
      <c r="P53" s="5"/>
      <c r="Q53" s="5"/>
    </row>
    <row r="54" spans="1:17" ht="18" customHeight="1" thickBot="1">
      <c r="A54" s="346"/>
      <c r="B54" s="347" t="s">
        <v>325</v>
      </c>
      <c r="C54" s="348" t="s">
        <v>426</v>
      </c>
      <c r="D54" s="347" t="s">
        <v>11</v>
      </c>
      <c r="E54" s="349" cm="1">
        <f t="array" ref="E54">--OR('CalculSpeeTile10+SpeeTherm15-30'!$K$24={14,15})
 +--OR('CalculSpeeTile10+SpeeTherm15-30'!$V$24={14,15})
 +--OR('CalculSpeeTile10+SpeeTherm15-30'!$AG$24={14,15})</f>
        <v>0</v>
      </c>
      <c r="F54" s="385">
        <v>120</v>
      </c>
      <c r="G54" s="350">
        <f t="shared" si="6"/>
        <v>0</v>
      </c>
      <c r="H54" s="330">
        <f t="shared" si="7"/>
        <v>0</v>
      </c>
      <c r="I54" s="331"/>
      <c r="J54" s="5"/>
      <c r="K54" s="5"/>
      <c r="L54" s="5"/>
      <c r="M54" s="5"/>
      <c r="N54" s="5"/>
      <c r="O54" s="5"/>
      <c r="P54" s="5"/>
      <c r="Q54" s="5"/>
    </row>
    <row r="55" spans="1:17" ht="18" customHeight="1" thickTop="1" thickBot="1">
      <c r="A55" s="589" t="s">
        <v>520</v>
      </c>
      <c r="B55" s="590"/>
      <c r="C55" s="590"/>
      <c r="D55" s="596"/>
      <c r="E55" s="393">
        <f>'CalculSpeeTile10+SpeeTherm15-30'!B20+'CalculSpeeTile10+SpeeTherm15-30'!M20+'CalculSpeeTile10+SpeeTherm15-30'!X20</f>
        <v>0</v>
      </c>
      <c r="F55" s="439"/>
      <c r="G55" s="440"/>
      <c r="H55" s="248">
        <f>SUM(H56)</f>
        <v>0</v>
      </c>
      <c r="I55" s="341"/>
      <c r="J55" s="5"/>
      <c r="K55" s="5"/>
      <c r="L55" s="5"/>
      <c r="M55" s="5"/>
      <c r="N55" s="5"/>
      <c r="O55" s="5"/>
      <c r="P55" s="5"/>
      <c r="Q55" s="5"/>
    </row>
    <row r="56" spans="1:17" ht="28.05" customHeight="1" thickTop="1" thickBot="1">
      <c r="A56" s="377"/>
      <c r="B56" s="327" t="s">
        <v>521</v>
      </c>
      <c r="C56" s="441" t="s">
        <v>522</v>
      </c>
      <c r="D56" s="327" t="s">
        <v>11</v>
      </c>
      <c r="E56" s="442">
        <f>'CalculSpeeTile10+SpeeTherm15-30'!A24</f>
        <v>0</v>
      </c>
      <c r="F56" s="378">
        <v>60</v>
      </c>
      <c r="G56" s="329">
        <f t="shared" ref="G56:G78" si="8">E56*F56</f>
        <v>0</v>
      </c>
      <c r="H56" s="330">
        <f t="shared" ref="H56:H78" si="9">E56</f>
        <v>0</v>
      </c>
      <c r="I56" s="331"/>
      <c r="J56" s="5"/>
      <c r="K56" s="5"/>
      <c r="L56" s="5"/>
      <c r="M56" s="5"/>
      <c r="N56" s="5"/>
      <c r="O56" s="5"/>
      <c r="P56" s="5"/>
      <c r="Q56" s="5"/>
    </row>
    <row r="57" spans="1:17" ht="18" customHeight="1" thickTop="1" thickBot="1">
      <c r="A57" s="589" t="s">
        <v>523</v>
      </c>
      <c r="B57" s="590"/>
      <c r="C57" s="590"/>
      <c r="D57" s="596"/>
      <c r="E57" s="393"/>
      <c r="F57" s="439"/>
      <c r="G57" s="440"/>
      <c r="H57" s="248">
        <f>SUM(H58)</f>
        <v>0</v>
      </c>
      <c r="I57" s="341"/>
      <c r="J57" s="5"/>
      <c r="K57" s="5"/>
      <c r="L57" s="5"/>
      <c r="M57" s="5"/>
      <c r="N57" s="5"/>
      <c r="O57" s="5"/>
      <c r="P57" s="5"/>
      <c r="Q57" s="5"/>
    </row>
    <row r="58" spans="1:17" ht="28.05" customHeight="1" thickTop="1" thickBot="1">
      <c r="A58" s="334"/>
      <c r="B58" s="260" t="s">
        <v>521</v>
      </c>
      <c r="C58" s="408" t="s">
        <v>524</v>
      </c>
      <c r="D58" s="260" t="s">
        <v>439</v>
      </c>
      <c r="E58" s="442"/>
      <c r="F58" s="383">
        <v>104</v>
      </c>
      <c r="G58" s="335">
        <f>E58*F58</f>
        <v>0</v>
      </c>
      <c r="H58" s="330">
        <f>E58</f>
        <v>0</v>
      </c>
      <c r="I58" s="331"/>
      <c r="J58" s="5"/>
      <c r="K58" s="5"/>
      <c r="L58" s="5"/>
      <c r="M58" s="5"/>
      <c r="N58" s="5"/>
      <c r="O58" s="5"/>
      <c r="P58" s="5"/>
      <c r="Q58" s="5"/>
    </row>
    <row r="59" spans="1:17" ht="28.05" customHeight="1" thickBot="1">
      <c r="A59" s="443"/>
      <c r="B59" s="260" t="s">
        <v>525</v>
      </c>
      <c r="C59" s="408" t="s">
        <v>526</v>
      </c>
      <c r="D59" s="260" t="s">
        <v>11</v>
      </c>
      <c r="E59" s="402">
        <f>'CalculSpeeTile10+SpeeTherm15-30'!E24</f>
        <v>0</v>
      </c>
      <c r="F59" s="383">
        <v>4.08</v>
      </c>
      <c r="G59" s="335">
        <f t="shared" si="8"/>
        <v>0</v>
      </c>
      <c r="H59" s="330">
        <f t="shared" si="9"/>
        <v>0</v>
      </c>
      <c r="I59" s="331"/>
      <c r="J59" s="5"/>
      <c r="K59" s="5"/>
      <c r="L59" s="5"/>
      <c r="M59" s="5"/>
      <c r="N59" s="5"/>
      <c r="O59" s="5"/>
      <c r="P59" s="5"/>
      <c r="Q59" s="5"/>
    </row>
    <row r="60" spans="1:17" ht="18" customHeight="1" thickBot="1">
      <c r="A60" s="400"/>
      <c r="B60" s="401" t="s">
        <v>485</v>
      </c>
      <c r="C60" s="332" t="s">
        <v>486</v>
      </c>
      <c r="D60" s="260" t="s">
        <v>484</v>
      </c>
      <c r="E60" s="402">
        <f>'CalculSpeeTile10+SpeeTherm15-30'!I24+'CalculSpeeTile10+SpeeTherm15-30'!T24+'CalculSpeeTile10+SpeeTherm15-30'!AE24</f>
        <v>0</v>
      </c>
      <c r="F60" s="444">
        <v>12</v>
      </c>
      <c r="G60" s="335">
        <f t="shared" si="8"/>
        <v>0</v>
      </c>
      <c r="H60" s="330">
        <f t="shared" si="9"/>
        <v>0</v>
      </c>
      <c r="I60" s="331"/>
      <c r="J60" s="5"/>
      <c r="K60" s="5"/>
      <c r="L60" s="5"/>
      <c r="M60" s="5"/>
      <c r="N60" s="5"/>
      <c r="O60" s="5"/>
      <c r="P60" s="5"/>
      <c r="Q60" s="5"/>
    </row>
    <row r="61" spans="1:17" ht="18" customHeight="1" thickBot="1">
      <c r="A61" s="404"/>
      <c r="B61" s="380" t="s">
        <v>487</v>
      </c>
      <c r="C61" s="348" t="s">
        <v>488</v>
      </c>
      <c r="D61" s="347" t="s">
        <v>484</v>
      </c>
      <c r="E61" s="405">
        <f>'CalculSpeeTile10+SpeeTherm15-30'!L24+'CalculSpeeTile10+SpeeTherm15-30'!W24+'CalculSpeeTile10+SpeeTherm15-30'!AH24</f>
        <v>0</v>
      </c>
      <c r="F61" s="385">
        <v>15</v>
      </c>
      <c r="G61" s="350">
        <f t="shared" si="8"/>
        <v>0</v>
      </c>
      <c r="H61" s="330">
        <f t="shared" si="9"/>
        <v>0</v>
      </c>
      <c r="I61" s="331"/>
      <c r="J61" s="5"/>
      <c r="K61" s="5"/>
      <c r="L61" s="5"/>
      <c r="M61" s="5"/>
      <c r="N61" s="5"/>
      <c r="O61" s="5"/>
      <c r="P61" s="5"/>
      <c r="Q61" s="5"/>
    </row>
    <row r="62" spans="1:17" ht="18" customHeight="1" thickTop="1" thickBot="1">
      <c r="A62" s="585" t="s">
        <v>489</v>
      </c>
      <c r="B62" s="586"/>
      <c r="C62" s="586"/>
      <c r="D62" s="381"/>
      <c r="E62" s="381"/>
      <c r="F62" s="381"/>
      <c r="G62" s="382"/>
      <c r="H62" s="248">
        <f>SUM(H63:H78)</f>
        <v>0</v>
      </c>
      <c r="I62" s="341"/>
      <c r="J62" s="5"/>
      <c r="K62" s="5"/>
      <c r="L62" s="5"/>
      <c r="M62" s="5"/>
      <c r="N62" s="5"/>
      <c r="O62" s="5"/>
      <c r="P62" s="5"/>
      <c r="Q62" s="5"/>
    </row>
    <row r="63" spans="1:17" ht="18" customHeight="1" thickTop="1" thickBot="1">
      <c r="A63" s="326"/>
      <c r="B63" s="327" t="s">
        <v>15</v>
      </c>
      <c r="C63" s="328" t="s">
        <v>490</v>
      </c>
      <c r="D63" s="327" t="s">
        <v>14</v>
      </c>
      <c r="E63" s="327">
        <f>IF('CalculSpeeTile10+SpeeTherm15-30'!AB24=0,0,CEILING(('CalculSpeeTile10+SpeeTherm15-30'!AB24-E64*75)/30,1))</f>
        <v>0</v>
      </c>
      <c r="F63" s="378">
        <v>50</v>
      </c>
      <c r="G63" s="329">
        <f t="shared" si="8"/>
        <v>0</v>
      </c>
      <c r="H63" s="330">
        <f t="shared" si="9"/>
        <v>0</v>
      </c>
      <c r="I63" s="331"/>
      <c r="J63" s="5"/>
      <c r="K63" s="5"/>
      <c r="L63" s="5"/>
      <c r="M63" s="5"/>
      <c r="N63" s="5"/>
      <c r="O63" s="5"/>
      <c r="P63" s="5"/>
      <c r="Q63" s="5"/>
    </row>
    <row r="64" spans="1:17" ht="18" customHeight="1" thickBot="1">
      <c r="A64" s="334"/>
      <c r="B64" s="260" t="s">
        <v>101</v>
      </c>
      <c r="C64" s="332" t="s">
        <v>491</v>
      </c>
      <c r="D64" s="260" t="s">
        <v>14</v>
      </c>
      <c r="E64" s="260">
        <f>IF('CalculSpeeTile10+SpeeTherm15-30'!AB24=0,0,INT('CalculSpeeTile10+SpeeTherm15-30'!AB24/75))</f>
        <v>0</v>
      </c>
      <c r="F64" s="383">
        <v>119</v>
      </c>
      <c r="G64" s="335">
        <f t="shared" si="8"/>
        <v>0</v>
      </c>
      <c r="H64" s="330">
        <f t="shared" si="9"/>
        <v>0</v>
      </c>
      <c r="I64" s="331"/>
      <c r="J64" s="5"/>
      <c r="K64" s="5"/>
      <c r="L64" s="5"/>
      <c r="M64" s="5"/>
      <c r="N64" s="5"/>
      <c r="O64" s="5"/>
      <c r="P64" s="5"/>
      <c r="Q64" s="5"/>
    </row>
    <row r="65" spans="1:17" ht="18" customHeight="1" thickBot="1">
      <c r="A65" s="406"/>
      <c r="B65" s="407" t="s">
        <v>492</v>
      </c>
      <c r="C65" s="408" t="s">
        <v>493</v>
      </c>
      <c r="D65" s="407" t="s">
        <v>11</v>
      </c>
      <c r="E65" s="407">
        <f>'CalculSpeeTile10+SpeeTherm15-30'!M24</f>
        <v>0</v>
      </c>
      <c r="F65" s="383">
        <v>0.55000000000000004</v>
      </c>
      <c r="G65" s="335">
        <f t="shared" si="8"/>
        <v>0</v>
      </c>
      <c r="H65" s="330">
        <f t="shared" si="9"/>
        <v>0</v>
      </c>
      <c r="I65" s="331"/>
      <c r="J65" s="5"/>
      <c r="K65" s="5"/>
      <c r="L65" s="5"/>
      <c r="M65" s="5"/>
      <c r="N65" s="5"/>
      <c r="O65" s="5"/>
      <c r="P65" s="5"/>
      <c r="Q65" s="5"/>
    </row>
    <row r="66" spans="1:17" ht="18" customHeight="1" thickBot="1">
      <c r="A66" s="406"/>
      <c r="B66" s="407" t="s">
        <v>494</v>
      </c>
      <c r="C66" s="408" t="s">
        <v>495</v>
      </c>
      <c r="D66" s="407" t="s">
        <v>11</v>
      </c>
      <c r="E66" s="407">
        <f>'CalculSpeeTile10+SpeeTherm15-30'!N24</f>
        <v>0</v>
      </c>
      <c r="F66" s="383">
        <v>0.55000000000000004</v>
      </c>
      <c r="G66" s="335">
        <f t="shared" si="8"/>
        <v>0</v>
      </c>
      <c r="H66" s="330">
        <f t="shared" si="9"/>
        <v>0</v>
      </c>
      <c r="I66" s="331"/>
      <c r="J66" s="5"/>
      <c r="K66" s="5"/>
      <c r="L66" s="5"/>
      <c r="M66" s="5"/>
      <c r="N66" s="5"/>
      <c r="O66" s="5"/>
      <c r="P66" s="5"/>
      <c r="Q66" s="5"/>
    </row>
    <row r="67" spans="1:17" ht="18" customHeight="1" thickBot="1">
      <c r="A67" s="406"/>
      <c r="B67" s="407" t="s">
        <v>496</v>
      </c>
      <c r="C67" s="408" t="s">
        <v>497</v>
      </c>
      <c r="D67" s="407" t="s">
        <v>11</v>
      </c>
      <c r="E67" s="409">
        <f>'CalculSpeeTile10+SpeeTherm15-30'!P24</f>
        <v>0</v>
      </c>
      <c r="F67" s="383">
        <v>0.8</v>
      </c>
      <c r="G67" s="335">
        <f t="shared" si="8"/>
        <v>0</v>
      </c>
      <c r="H67" s="330">
        <f t="shared" si="9"/>
        <v>0</v>
      </c>
      <c r="I67" s="331"/>
      <c r="J67" s="5"/>
      <c r="K67" s="5"/>
      <c r="L67" s="5"/>
      <c r="M67" s="5"/>
      <c r="N67" s="5"/>
      <c r="O67" s="5"/>
      <c r="P67" s="5"/>
      <c r="Q67" s="5"/>
    </row>
    <row r="68" spans="1:17" ht="18" customHeight="1" thickBot="1">
      <c r="A68" s="406"/>
      <c r="B68" s="407" t="s">
        <v>498</v>
      </c>
      <c r="C68" s="408" t="s">
        <v>499</v>
      </c>
      <c r="D68" s="407" t="s">
        <v>11</v>
      </c>
      <c r="E68" s="407">
        <f>'CalculSpeeTile10+SpeeTherm15-30'!Y24</f>
        <v>0</v>
      </c>
      <c r="F68" s="383">
        <v>9.24</v>
      </c>
      <c r="G68" s="335">
        <f t="shared" si="8"/>
        <v>0</v>
      </c>
      <c r="H68" s="330">
        <f t="shared" si="9"/>
        <v>0</v>
      </c>
      <c r="I68" s="331"/>
      <c r="J68" s="5"/>
      <c r="K68" s="5"/>
      <c r="L68" s="5"/>
      <c r="M68" s="5"/>
      <c r="N68" s="5"/>
      <c r="O68" s="5"/>
      <c r="P68" s="5"/>
      <c r="Q68" s="5"/>
    </row>
    <row r="69" spans="1:17" ht="18" customHeight="1" thickBot="1">
      <c r="A69" s="406"/>
      <c r="B69" s="407" t="s">
        <v>500</v>
      </c>
      <c r="C69" s="408" t="s">
        <v>501</v>
      </c>
      <c r="D69" s="407" t="s">
        <v>11</v>
      </c>
      <c r="E69" s="409">
        <f>'CalculSpeeTile10+SpeeTherm15-30'!AA24</f>
        <v>0</v>
      </c>
      <c r="F69" s="383">
        <v>4</v>
      </c>
      <c r="G69" s="335">
        <f t="shared" si="8"/>
        <v>0</v>
      </c>
      <c r="H69" s="330">
        <f t="shared" si="9"/>
        <v>0</v>
      </c>
      <c r="I69" s="331"/>
      <c r="J69" s="5"/>
      <c r="K69" s="5"/>
      <c r="L69" s="5"/>
      <c r="M69" s="5"/>
      <c r="N69" s="5"/>
      <c r="O69" s="5"/>
      <c r="P69" s="5"/>
      <c r="Q69" s="5"/>
    </row>
    <row r="70" spans="1:17" ht="18" customHeight="1" thickBot="1">
      <c r="A70" s="406"/>
      <c r="B70" s="407">
        <v>720200</v>
      </c>
      <c r="C70" s="408" t="s">
        <v>502</v>
      </c>
      <c r="D70" s="407" t="s">
        <v>11</v>
      </c>
      <c r="E70" s="407">
        <f>'CalculSpeeTile10+SpeeTherm15-30'!AC24</f>
        <v>0</v>
      </c>
      <c r="F70" s="383">
        <v>5</v>
      </c>
      <c r="G70" s="335">
        <f t="shared" si="8"/>
        <v>0</v>
      </c>
      <c r="H70" s="330">
        <f t="shared" si="9"/>
        <v>0</v>
      </c>
      <c r="I70" s="331"/>
      <c r="J70" s="5"/>
      <c r="K70" s="5"/>
      <c r="L70" s="5"/>
      <c r="M70" s="5"/>
      <c r="N70" s="5"/>
      <c r="O70" s="5"/>
      <c r="P70" s="5"/>
      <c r="Q70" s="5"/>
    </row>
    <row r="71" spans="1:17" ht="18" customHeight="1" thickBot="1">
      <c r="A71" s="410"/>
      <c r="B71" s="411">
        <v>630112</v>
      </c>
      <c r="C71" s="412" t="s">
        <v>503</v>
      </c>
      <c r="D71" s="411" t="s">
        <v>13</v>
      </c>
      <c r="E71" s="411"/>
      <c r="F71" s="383">
        <v>81</v>
      </c>
      <c r="G71" s="335">
        <f t="shared" si="8"/>
        <v>0</v>
      </c>
      <c r="H71" s="330">
        <f t="shared" si="9"/>
        <v>0</v>
      </c>
      <c r="I71" s="331"/>
      <c r="J71" s="5"/>
      <c r="K71" s="5"/>
      <c r="L71" s="5"/>
      <c r="M71" s="5"/>
      <c r="N71" s="5"/>
      <c r="O71" s="5"/>
      <c r="P71" s="5"/>
      <c r="Q71" s="5"/>
    </row>
    <row r="72" spans="1:17" ht="24.45" customHeight="1" thickBot="1">
      <c r="A72" s="410"/>
      <c r="B72" s="411">
        <v>630113</v>
      </c>
      <c r="C72" s="413" t="s">
        <v>504</v>
      </c>
      <c r="D72" s="411" t="s">
        <v>13</v>
      </c>
      <c r="E72" s="411"/>
      <c r="F72" s="383">
        <v>123</v>
      </c>
      <c r="G72" s="335">
        <f t="shared" si="8"/>
        <v>0</v>
      </c>
      <c r="H72" s="330">
        <f t="shared" si="9"/>
        <v>0</v>
      </c>
      <c r="I72" s="331"/>
      <c r="J72" s="5"/>
      <c r="K72" s="5"/>
      <c r="L72" s="5"/>
      <c r="M72" s="5"/>
      <c r="N72" s="5"/>
      <c r="O72" s="5"/>
      <c r="P72" s="5"/>
      <c r="Q72" s="5"/>
    </row>
    <row r="73" spans="1:17" ht="18" customHeight="1" thickBot="1">
      <c r="A73" s="334"/>
      <c r="B73" s="260" t="s">
        <v>109</v>
      </c>
      <c r="C73" s="332" t="s">
        <v>527</v>
      </c>
      <c r="D73" s="260" t="s">
        <v>439</v>
      </c>
      <c r="E73" s="260">
        <f>'CalculSpeeTile10+SpeeTherm15-30'!G24</f>
        <v>0</v>
      </c>
      <c r="F73" s="383">
        <v>6</v>
      </c>
      <c r="G73" s="335">
        <f t="shared" si="8"/>
        <v>0</v>
      </c>
      <c r="H73" s="330">
        <f t="shared" si="9"/>
        <v>0</v>
      </c>
      <c r="I73" s="331"/>
      <c r="J73" s="5"/>
      <c r="K73" s="5"/>
      <c r="L73" s="5"/>
      <c r="M73" s="5"/>
      <c r="N73" s="5"/>
      <c r="O73" s="5"/>
      <c r="P73" s="5"/>
      <c r="Q73" s="5"/>
    </row>
    <row r="74" spans="1:17" ht="18" customHeight="1" thickBot="1">
      <c r="A74" s="406"/>
      <c r="B74" s="407" t="s">
        <v>507</v>
      </c>
      <c r="C74" s="332" t="s">
        <v>508</v>
      </c>
      <c r="D74" s="407" t="s">
        <v>11</v>
      </c>
      <c r="E74" s="409">
        <f>'CalculSpeeTile10+SpeeTherm15-30'!Q24</f>
        <v>0</v>
      </c>
      <c r="F74" s="383">
        <v>8</v>
      </c>
      <c r="G74" s="335">
        <f t="shared" si="8"/>
        <v>0</v>
      </c>
      <c r="H74" s="330">
        <f t="shared" si="9"/>
        <v>0</v>
      </c>
      <c r="I74" s="414"/>
      <c r="J74" s="5"/>
      <c r="K74" s="5"/>
      <c r="L74" s="5"/>
      <c r="M74" s="5"/>
      <c r="N74" s="5"/>
      <c r="O74" s="5"/>
      <c r="P74" s="5"/>
      <c r="Q74" s="5"/>
    </row>
    <row r="75" spans="1:17" ht="18" customHeight="1" thickBot="1">
      <c r="A75" s="406"/>
      <c r="B75" s="407" t="s">
        <v>509</v>
      </c>
      <c r="C75" s="332" t="s">
        <v>510</v>
      </c>
      <c r="D75" s="407" t="s">
        <v>11</v>
      </c>
      <c r="E75" s="407"/>
      <c r="F75" s="383">
        <v>304</v>
      </c>
      <c r="G75" s="335">
        <f t="shared" si="8"/>
        <v>0</v>
      </c>
      <c r="H75" s="330">
        <f t="shared" si="9"/>
        <v>0</v>
      </c>
      <c r="I75" s="414"/>
      <c r="J75" s="5"/>
      <c r="K75" s="5"/>
      <c r="L75" s="5"/>
      <c r="M75" s="5"/>
      <c r="N75" s="5"/>
      <c r="O75" s="5"/>
      <c r="P75" s="5"/>
      <c r="Q75" s="5"/>
    </row>
    <row r="76" spans="1:17" ht="18" customHeight="1" thickBot="1">
      <c r="A76" s="406"/>
      <c r="B76" s="407" t="s">
        <v>511</v>
      </c>
      <c r="C76" s="332" t="s">
        <v>512</v>
      </c>
      <c r="D76" s="407" t="s">
        <v>11</v>
      </c>
      <c r="E76" s="407">
        <f>'CalculSpeeTile10+SpeeTherm15-30'!R24</f>
        <v>0</v>
      </c>
      <c r="F76" s="383">
        <v>21</v>
      </c>
      <c r="G76" s="335">
        <f t="shared" si="8"/>
        <v>0</v>
      </c>
      <c r="H76" s="330">
        <f t="shared" si="9"/>
        <v>0</v>
      </c>
      <c r="I76" s="414"/>
      <c r="J76" s="5"/>
      <c r="K76" s="5"/>
      <c r="L76" s="5"/>
      <c r="M76" s="5"/>
      <c r="N76" s="5"/>
      <c r="O76" s="5"/>
      <c r="P76" s="5"/>
      <c r="Q76" s="5"/>
    </row>
    <row r="77" spans="1:17" ht="18" customHeight="1" thickBot="1">
      <c r="A77" s="406"/>
      <c r="B77" s="407" t="s">
        <v>513</v>
      </c>
      <c r="C77" s="332" t="s">
        <v>514</v>
      </c>
      <c r="D77" s="407" t="s">
        <v>11</v>
      </c>
      <c r="E77" s="407"/>
      <c r="F77" s="383">
        <v>145</v>
      </c>
      <c r="G77" s="335">
        <f t="shared" si="8"/>
        <v>0</v>
      </c>
      <c r="H77" s="330">
        <f t="shared" si="9"/>
        <v>0</v>
      </c>
      <c r="I77" s="414"/>
      <c r="J77" s="5"/>
      <c r="K77" s="5"/>
      <c r="L77" s="5"/>
      <c r="M77" s="5"/>
      <c r="N77" s="5"/>
      <c r="O77" s="5"/>
      <c r="P77" s="5"/>
      <c r="Q77" s="5"/>
    </row>
    <row r="78" spans="1:17" ht="18" customHeight="1" thickBot="1">
      <c r="A78" s="416"/>
      <c r="B78" s="417" t="s">
        <v>515</v>
      </c>
      <c r="C78" s="418" t="s">
        <v>516</v>
      </c>
      <c r="D78" s="419" t="s">
        <v>11</v>
      </c>
      <c r="E78" s="419">
        <f>'CalculSpeeTile10+SpeeTherm15-30'!X24</f>
        <v>0</v>
      </c>
      <c r="F78" s="420">
        <v>28</v>
      </c>
      <c r="G78" s="421">
        <f t="shared" si="8"/>
        <v>0</v>
      </c>
      <c r="H78" s="330">
        <f t="shared" si="9"/>
        <v>0</v>
      </c>
      <c r="I78" s="414"/>
      <c r="J78" s="5"/>
      <c r="K78" s="5"/>
      <c r="L78" s="5"/>
      <c r="M78" s="5"/>
      <c r="N78" s="5"/>
      <c r="O78" s="5"/>
      <c r="P78" s="5"/>
      <c r="Q78" s="5"/>
    </row>
    <row r="79" spans="1:17" s="446" customFormat="1" ht="18" customHeight="1" thickTop="1" thickBot="1">
      <c r="A79" s="522" t="s">
        <v>25</v>
      </c>
      <c r="B79" s="540"/>
      <c r="C79" s="540"/>
      <c r="D79" s="540"/>
      <c r="E79" s="42"/>
      <c r="F79" s="153"/>
      <c r="G79" s="445">
        <f>SUM(G17:G78)</f>
        <v>0</v>
      </c>
      <c r="H79" s="423">
        <f>G79</f>
        <v>0</v>
      </c>
      <c r="I79" s="316"/>
      <c r="J79" s="316"/>
      <c r="K79" s="316"/>
      <c r="L79" s="316"/>
      <c r="M79" s="316"/>
      <c r="N79" s="316"/>
      <c r="O79" s="316"/>
      <c r="P79" s="316"/>
      <c r="Q79" s="316"/>
    </row>
    <row r="80" spans="1:17" s="446" customFormat="1" ht="18" customHeight="1" thickTop="1" thickBot="1">
      <c r="A80" s="522" t="s">
        <v>156</v>
      </c>
      <c r="B80" s="539"/>
      <c r="C80" s="539"/>
      <c r="D80" s="539"/>
      <c r="E80" s="47">
        <v>0.05</v>
      </c>
      <c r="F80" s="153"/>
      <c r="G80" s="98">
        <f>G79*(1-E80)</f>
        <v>0</v>
      </c>
      <c r="H80" s="423">
        <f t="shared" ref="H80:H81" si="10">G80</f>
        <v>0</v>
      </c>
      <c r="I80" s="316"/>
      <c r="J80" s="316"/>
      <c r="K80" s="316"/>
      <c r="L80" s="316"/>
      <c r="M80" s="316"/>
      <c r="N80" s="316"/>
      <c r="O80" s="316"/>
      <c r="P80" s="316"/>
      <c r="Q80" s="316"/>
    </row>
    <row r="81" spans="1:24" s="446" customFormat="1" ht="18" customHeight="1" thickTop="1" thickBot="1">
      <c r="A81" s="522" t="s">
        <v>143</v>
      </c>
      <c r="B81" s="540"/>
      <c r="C81" s="540"/>
      <c r="D81" s="540"/>
      <c r="E81" s="42"/>
      <c r="F81" s="153"/>
      <c r="G81" s="98">
        <f>G80*1.21</f>
        <v>0</v>
      </c>
      <c r="H81" s="423">
        <f t="shared" si="10"/>
        <v>0</v>
      </c>
      <c r="I81" s="316"/>
      <c r="J81" s="316"/>
      <c r="K81" s="316"/>
      <c r="L81" s="316"/>
      <c r="M81" s="316"/>
      <c r="N81" s="316"/>
      <c r="O81" s="316"/>
      <c r="P81" s="316"/>
      <c r="Q81" s="316"/>
    </row>
    <row r="82" spans="1:24" s="446" customFormat="1" ht="14.25" customHeight="1" thickTop="1">
      <c r="A82" s="53"/>
      <c r="B82" s="46"/>
      <c r="C82" s="46"/>
      <c r="D82" s="46"/>
      <c r="E82" s="53"/>
      <c r="F82" s="53"/>
      <c r="G82" s="70"/>
      <c r="H82" s="423"/>
      <c r="I82" s="316"/>
      <c r="J82" s="316"/>
      <c r="K82" s="316"/>
      <c r="L82" s="316"/>
      <c r="M82" s="316"/>
      <c r="N82" s="316"/>
      <c r="O82" s="316"/>
      <c r="P82" s="316"/>
      <c r="Q82" s="316"/>
    </row>
    <row r="83" spans="1:24" s="446" customFormat="1" ht="14.25" customHeight="1">
      <c r="A83" s="53"/>
      <c r="B83" s="46"/>
      <c r="C83" s="46"/>
      <c r="D83" s="46"/>
      <c r="E83" s="53"/>
      <c r="F83" s="53"/>
      <c r="G83" s="70"/>
      <c r="H83" s="423"/>
      <c r="I83" s="316"/>
      <c r="J83" s="316"/>
      <c r="K83" s="316"/>
      <c r="L83" s="316"/>
      <c r="M83" s="316"/>
      <c r="N83" s="316"/>
      <c r="O83" s="316"/>
      <c r="P83" s="316"/>
      <c r="Q83" s="316"/>
    </row>
    <row r="84" spans="1:24" s="446" customFormat="1" ht="14.25" customHeight="1">
      <c r="A84" s="53"/>
      <c r="B84" s="46"/>
      <c r="C84" s="46"/>
      <c r="D84" s="46"/>
      <c r="E84" s="53"/>
      <c r="F84" s="53"/>
      <c r="G84" s="70"/>
      <c r="H84" s="423"/>
      <c r="I84" s="316"/>
      <c r="J84" s="316"/>
      <c r="K84" s="316"/>
      <c r="L84" s="316"/>
      <c r="M84" s="316"/>
      <c r="N84" s="316"/>
      <c r="O84" s="316"/>
      <c r="P84" s="316"/>
      <c r="Q84" s="316"/>
    </row>
    <row r="85" spans="1:24" s="446" customFormat="1" ht="14.25" customHeight="1">
      <c r="A85" s="53"/>
      <c r="B85" s="46"/>
      <c r="C85" s="46"/>
      <c r="D85" s="46"/>
      <c r="E85" s="53"/>
      <c r="F85" s="53"/>
      <c r="G85" s="70"/>
      <c r="H85" s="423"/>
      <c r="I85" s="316"/>
      <c r="J85" s="316"/>
      <c r="K85" s="316"/>
      <c r="L85" s="316"/>
      <c r="M85" s="316"/>
      <c r="N85" s="316"/>
      <c r="O85" s="316"/>
      <c r="P85" s="316"/>
      <c r="Q85" s="316"/>
    </row>
    <row r="86" spans="1:24" ht="25.95" customHeight="1">
      <c r="A86" s="541" t="s">
        <v>287</v>
      </c>
      <c r="B86" s="541"/>
      <c r="C86" s="541"/>
      <c r="D86" s="541"/>
      <c r="E86" s="541"/>
      <c r="F86" s="541"/>
      <c r="G86" s="541"/>
      <c r="H86" s="250">
        <f>SUM(H93:H124)</f>
        <v>0</v>
      </c>
      <c r="I86" s="5"/>
      <c r="J86" s="5"/>
      <c r="K86" s="5"/>
      <c r="L86" s="5"/>
      <c r="M86" s="5"/>
      <c r="N86" s="5"/>
      <c r="O86" s="5"/>
      <c r="P86" s="5"/>
      <c r="Q86" s="5"/>
    </row>
    <row r="87" spans="1:24" ht="18" customHeight="1">
      <c r="A87" s="593" t="s">
        <v>26</v>
      </c>
      <c r="B87" s="593"/>
      <c r="C87" s="593"/>
      <c r="D87" s="593"/>
      <c r="E87" s="593"/>
      <c r="F87" s="593"/>
      <c r="G87" s="593"/>
      <c r="H87" s="250">
        <f>G104</f>
        <v>0</v>
      </c>
      <c r="I87" s="5"/>
      <c r="J87" s="5"/>
      <c r="K87" s="5"/>
      <c r="L87" s="5"/>
      <c r="M87" s="5"/>
      <c r="N87" s="5"/>
      <c r="O87" s="5"/>
      <c r="P87" s="5"/>
      <c r="Q87" s="5"/>
    </row>
    <row r="88" spans="1:24">
      <c r="A88" s="544"/>
      <c r="B88" s="544"/>
      <c r="C88" s="544"/>
      <c r="D88" s="544"/>
      <c r="E88" s="544"/>
      <c r="F88" s="544"/>
      <c r="G88" s="544"/>
      <c r="H88" s="249">
        <f>G104</f>
        <v>0</v>
      </c>
      <c r="I88" s="5"/>
      <c r="J88" s="5"/>
      <c r="K88" s="5"/>
      <c r="L88" s="5"/>
      <c r="M88" s="5"/>
      <c r="N88" s="5"/>
      <c r="O88" s="5"/>
      <c r="P88" s="5"/>
      <c r="Q88" s="5"/>
    </row>
    <row r="89" spans="1:24" ht="16.5" customHeight="1" thickBot="1">
      <c r="A89" s="16"/>
      <c r="B89" s="15"/>
      <c r="C89" s="15"/>
      <c r="D89" s="15"/>
      <c r="E89" s="15"/>
      <c r="F89" s="15"/>
      <c r="G89" s="15"/>
      <c r="H89" s="249">
        <f>G104</f>
        <v>0</v>
      </c>
      <c r="I89" s="5"/>
      <c r="J89" s="5"/>
      <c r="K89" s="5"/>
      <c r="L89" s="5"/>
      <c r="M89" s="5"/>
      <c r="N89" s="5"/>
      <c r="O89" s="5"/>
      <c r="P89" s="5"/>
      <c r="Q89" s="5"/>
    </row>
    <row r="90" spans="1:24" ht="18.75" customHeight="1" thickTop="1">
      <c r="A90" s="6" t="s">
        <v>1</v>
      </c>
      <c r="B90" s="518" t="s">
        <v>3</v>
      </c>
      <c r="C90" s="518" t="s">
        <v>4</v>
      </c>
      <c r="D90" s="518" t="s">
        <v>5</v>
      </c>
      <c r="E90" s="518" t="s">
        <v>6</v>
      </c>
      <c r="F90" s="7" t="s">
        <v>7</v>
      </c>
      <c r="G90" s="8" t="s">
        <v>9</v>
      </c>
      <c r="H90" s="249">
        <f>G104</f>
        <v>0</v>
      </c>
      <c r="I90" s="5"/>
      <c r="J90" s="5"/>
      <c r="K90" s="5"/>
      <c r="L90" s="5"/>
      <c r="M90" s="5"/>
      <c r="N90" s="5"/>
      <c r="O90" s="5"/>
      <c r="P90" s="5"/>
      <c r="Q90" s="5"/>
    </row>
    <row r="91" spans="1:24" ht="24" customHeight="1" thickBot="1">
      <c r="A91" s="17" t="s">
        <v>2</v>
      </c>
      <c r="B91" s="527"/>
      <c r="C91" s="527"/>
      <c r="D91" s="527"/>
      <c r="E91" s="527"/>
      <c r="F91" s="18" t="s">
        <v>8</v>
      </c>
      <c r="G91" s="19" t="s">
        <v>8</v>
      </c>
      <c r="H91" s="249">
        <f>G104</f>
        <v>0</v>
      </c>
      <c r="I91" s="5"/>
      <c r="J91" s="5"/>
      <c r="K91" s="5"/>
      <c r="L91" s="5"/>
      <c r="M91" s="5"/>
      <c r="N91" s="5"/>
      <c r="O91" s="5"/>
      <c r="P91" s="5"/>
      <c r="Q91" s="5"/>
    </row>
    <row r="92" spans="1:24" ht="16.05" customHeight="1" thickTop="1" thickBot="1">
      <c r="A92" s="571" t="s">
        <v>27</v>
      </c>
      <c r="B92" s="578"/>
      <c r="C92" s="578"/>
      <c r="D92" s="165"/>
      <c r="E92" s="165"/>
      <c r="F92" s="165"/>
      <c r="G92" s="153"/>
      <c r="H92" s="248">
        <f>SUM(H93:H95)</f>
        <v>0</v>
      </c>
      <c r="I92" s="5"/>
      <c r="J92" s="5"/>
      <c r="K92" s="5"/>
      <c r="L92" s="5"/>
      <c r="M92" s="5"/>
      <c r="N92" s="5"/>
      <c r="O92" s="5"/>
      <c r="P92" s="5"/>
      <c r="Q92" s="5"/>
      <c r="S92" s="5"/>
      <c r="T92" s="5"/>
      <c r="U92" s="5"/>
      <c r="V92" s="5"/>
      <c r="W92" s="5"/>
      <c r="X92" s="5"/>
    </row>
    <row r="93" spans="1:24" ht="28.05" customHeight="1" thickTop="1" thickBot="1">
      <c r="A93" s="12"/>
      <c r="B93" s="3" t="s">
        <v>28</v>
      </c>
      <c r="C93" s="13" t="s">
        <v>182</v>
      </c>
      <c r="D93" s="3" t="s">
        <v>11</v>
      </c>
      <c r="E93" s="3">
        <f>'CalculSpeeTile10+SpeeTherm15-30'!K22</f>
        <v>0</v>
      </c>
      <c r="F93" s="429">
        <v>179</v>
      </c>
      <c r="G93" s="33">
        <f>E93*F93</f>
        <v>0</v>
      </c>
      <c r="H93" s="248">
        <f>E93</f>
        <v>0</v>
      </c>
      <c r="I93" s="5"/>
      <c r="J93" s="5"/>
      <c r="K93" s="5"/>
      <c r="L93" s="5"/>
      <c r="M93" s="5"/>
      <c r="N93" s="5"/>
      <c r="O93" s="5"/>
      <c r="P93" s="5"/>
      <c r="Q93" s="5"/>
    </row>
    <row r="94" spans="1:24" ht="16.05" customHeight="1" thickBot="1">
      <c r="A94" s="12"/>
      <c r="B94" s="3" t="s">
        <v>29</v>
      </c>
      <c r="C94" s="13" t="s">
        <v>30</v>
      </c>
      <c r="D94" s="3" t="s">
        <v>11</v>
      </c>
      <c r="E94" s="3">
        <f>'CalculSpeeTile10+SpeeTherm15-30'!H24</f>
        <v>0</v>
      </c>
      <c r="F94" s="429">
        <v>17</v>
      </c>
      <c r="G94" s="33">
        <f t="shared" ref="G94:G99" si="11">E94*F94</f>
        <v>0</v>
      </c>
      <c r="H94" s="248">
        <f t="shared" ref="H94:H99" si="12">E94</f>
        <v>0</v>
      </c>
      <c r="I94" s="5"/>
      <c r="J94" s="5"/>
      <c r="K94" s="5"/>
      <c r="L94" s="5"/>
      <c r="M94" s="5"/>
      <c r="N94" s="5"/>
      <c r="O94" s="5"/>
      <c r="P94" s="5"/>
      <c r="Q94" s="5"/>
    </row>
    <row r="95" spans="1:24" ht="16.05" customHeight="1" thickBot="1">
      <c r="A95" s="35"/>
      <c r="B95" s="40" t="s">
        <v>31</v>
      </c>
      <c r="C95" s="37" t="s">
        <v>183</v>
      </c>
      <c r="D95" s="40" t="s">
        <v>11</v>
      </c>
      <c r="E95" s="40">
        <f>IF(OR('CalculSpeeTile10+SpeeTherm15-30'!J22=0),0,'CalculSpeeTile10+SpeeTherm15-30'!J22-1)</f>
        <v>0</v>
      </c>
      <c r="F95" s="430">
        <v>41</v>
      </c>
      <c r="G95" s="38">
        <f t="shared" si="11"/>
        <v>0</v>
      </c>
      <c r="H95" s="248">
        <f t="shared" si="12"/>
        <v>0</v>
      </c>
      <c r="I95" s="5"/>
      <c r="J95" s="5"/>
      <c r="K95" s="5"/>
      <c r="L95" s="5"/>
      <c r="M95" s="5"/>
      <c r="N95" s="5"/>
      <c r="O95" s="5"/>
      <c r="P95" s="5"/>
      <c r="Q95" s="5"/>
    </row>
    <row r="96" spans="1:24" ht="16.05" customHeight="1" thickTop="1" thickBot="1">
      <c r="A96" s="571" t="s">
        <v>326</v>
      </c>
      <c r="B96" s="572"/>
      <c r="C96" s="572"/>
      <c r="D96" s="165"/>
      <c r="E96" s="165"/>
      <c r="F96" s="165"/>
      <c r="G96" s="166"/>
      <c r="H96" s="248">
        <f>SUM(H97:H99)</f>
        <v>0</v>
      </c>
      <c r="I96" s="5"/>
      <c r="J96" s="5"/>
      <c r="K96" s="5"/>
      <c r="L96" s="5"/>
      <c r="M96" s="5"/>
      <c r="N96" s="5"/>
      <c r="O96" s="5"/>
      <c r="P96" s="5"/>
      <c r="Q96" s="5"/>
    </row>
    <row r="97" spans="1:17" ht="28.05" customHeight="1" thickTop="1" thickBot="1">
      <c r="A97" s="12"/>
      <c r="B97" s="3" t="s">
        <v>28</v>
      </c>
      <c r="C97" s="13" t="s">
        <v>182</v>
      </c>
      <c r="D97" s="3" t="s">
        <v>11</v>
      </c>
      <c r="E97" s="3">
        <f>'CalculSpeeTile10+SpeeTherm15-30'!V22</f>
        <v>0</v>
      </c>
      <c r="F97" s="429">
        <v>179</v>
      </c>
      <c r="G97" s="33">
        <f t="shared" si="11"/>
        <v>0</v>
      </c>
      <c r="H97" s="248">
        <f t="shared" si="12"/>
        <v>0</v>
      </c>
      <c r="I97" s="5"/>
      <c r="J97" s="5"/>
      <c r="K97" s="5"/>
      <c r="L97" s="5"/>
      <c r="M97" s="5"/>
      <c r="N97" s="5"/>
      <c r="O97" s="5"/>
      <c r="P97" s="5"/>
      <c r="Q97" s="5"/>
    </row>
    <row r="98" spans="1:17" ht="16.05" customHeight="1" thickBot="1">
      <c r="A98" s="12"/>
      <c r="B98" s="3" t="s">
        <v>29</v>
      </c>
      <c r="C98" s="13" t="s">
        <v>30</v>
      </c>
      <c r="D98" s="3" t="s">
        <v>11</v>
      </c>
      <c r="E98" s="3">
        <f>'CalculSpeeTile10+SpeeTherm15-30'!S24</f>
        <v>0</v>
      </c>
      <c r="F98" s="429">
        <v>17</v>
      </c>
      <c r="G98" s="33">
        <f t="shared" si="11"/>
        <v>0</v>
      </c>
      <c r="H98" s="248">
        <f t="shared" si="12"/>
        <v>0</v>
      </c>
      <c r="I98" s="5"/>
      <c r="J98" s="5"/>
      <c r="K98" s="5"/>
      <c r="L98" s="5"/>
      <c r="M98" s="5"/>
      <c r="N98" s="5"/>
      <c r="O98" s="5"/>
      <c r="P98" s="5"/>
      <c r="Q98" s="5"/>
    </row>
    <row r="99" spans="1:17" ht="16.05" customHeight="1" thickBot="1">
      <c r="A99" s="161"/>
      <c r="B99" s="162" t="s">
        <v>31</v>
      </c>
      <c r="C99" s="163" t="s">
        <v>183</v>
      </c>
      <c r="D99" s="162" t="s">
        <v>11</v>
      </c>
      <c r="E99" s="162">
        <f>IF(OR('CalculSpeeTile10+SpeeTherm15-30'!U22=0),0,'CalculSpeeTile10+SpeeTherm15-30'!U22-1)</f>
        <v>0</v>
      </c>
      <c r="F99" s="430">
        <v>41</v>
      </c>
      <c r="G99" s="164">
        <f t="shared" si="11"/>
        <v>0</v>
      </c>
      <c r="H99" s="248">
        <f t="shared" si="12"/>
        <v>0</v>
      </c>
      <c r="I99" s="5"/>
      <c r="J99" s="5"/>
      <c r="K99" s="5"/>
      <c r="L99" s="5"/>
      <c r="M99" s="5"/>
      <c r="N99" s="5"/>
      <c r="O99" s="5"/>
      <c r="P99" s="5"/>
      <c r="Q99" s="5"/>
    </row>
    <row r="100" spans="1:17" ht="16.05" customHeight="1" thickTop="1" thickBot="1">
      <c r="A100" s="571" t="s">
        <v>32</v>
      </c>
      <c r="B100" s="572"/>
      <c r="C100" s="572"/>
      <c r="D100" s="165"/>
      <c r="E100" s="165"/>
      <c r="F100" s="165"/>
      <c r="G100" s="166"/>
      <c r="H100" s="248">
        <f>SUM(H101:H103)</f>
        <v>0</v>
      </c>
      <c r="I100" s="5"/>
      <c r="J100" s="5"/>
      <c r="K100" s="5"/>
      <c r="L100" s="5"/>
      <c r="M100" s="5"/>
      <c r="N100" s="5"/>
      <c r="O100" s="5"/>
      <c r="P100" s="5"/>
      <c r="Q100" s="5"/>
    </row>
    <row r="101" spans="1:17" ht="25.5" customHeight="1" thickTop="1" thickBot="1">
      <c r="A101" s="12"/>
      <c r="B101" s="3" t="s">
        <v>28</v>
      </c>
      <c r="C101" s="13" t="s">
        <v>182</v>
      </c>
      <c r="D101" s="3" t="s">
        <v>11</v>
      </c>
      <c r="E101" s="3">
        <f>'CalculSpeeTile10+SpeeTherm15-30'!AG22</f>
        <v>0</v>
      </c>
      <c r="F101" s="429">
        <v>179</v>
      </c>
      <c r="G101" s="33">
        <f t="shared" ref="G101:G103" si="13">E101*F101</f>
        <v>0</v>
      </c>
      <c r="H101" s="248">
        <f t="shared" ref="H101:H103" si="14">E101</f>
        <v>0</v>
      </c>
      <c r="I101" s="5"/>
      <c r="J101" s="5"/>
      <c r="K101" s="5"/>
      <c r="L101" s="5"/>
      <c r="M101" s="5"/>
      <c r="N101" s="5"/>
      <c r="O101" s="5"/>
      <c r="P101" s="5"/>
      <c r="Q101" s="5"/>
    </row>
    <row r="102" spans="1:17" ht="16.05" customHeight="1" thickBot="1">
      <c r="A102" s="12"/>
      <c r="B102" s="3" t="s">
        <v>29</v>
      </c>
      <c r="C102" s="13" t="s">
        <v>30</v>
      </c>
      <c r="D102" s="3" t="s">
        <v>11</v>
      </c>
      <c r="E102" s="3">
        <f>'CalculSpeeTile10+SpeeTherm15-30'!AD24</f>
        <v>0</v>
      </c>
      <c r="F102" s="429">
        <v>17</v>
      </c>
      <c r="G102" s="33">
        <f t="shared" si="13"/>
        <v>0</v>
      </c>
      <c r="H102" s="248">
        <f t="shared" si="14"/>
        <v>0</v>
      </c>
      <c r="I102" s="5"/>
      <c r="J102" s="5"/>
      <c r="K102" s="5"/>
      <c r="L102" s="5"/>
      <c r="M102" s="5"/>
      <c r="N102" s="5"/>
      <c r="O102" s="5"/>
      <c r="P102" s="5"/>
      <c r="Q102" s="5"/>
    </row>
    <row r="103" spans="1:17" ht="16.05" customHeight="1" thickBot="1">
      <c r="A103" s="161"/>
      <c r="B103" s="162" t="s">
        <v>31</v>
      </c>
      <c r="C103" s="163" t="s">
        <v>183</v>
      </c>
      <c r="D103" s="162" t="s">
        <v>11</v>
      </c>
      <c r="E103" s="162">
        <f>IF(OR('CalculSpeeTile10+SpeeTherm15-30'!AF22=0),0,'CalculSpeeTile10+SpeeTherm15-30'!AF22-1)</f>
        <v>0</v>
      </c>
      <c r="F103" s="430">
        <v>41</v>
      </c>
      <c r="G103" s="164">
        <f t="shared" si="13"/>
        <v>0</v>
      </c>
      <c r="H103" s="248">
        <f t="shared" si="14"/>
        <v>0</v>
      </c>
      <c r="I103" s="5"/>
      <c r="J103" s="5"/>
      <c r="K103" s="5"/>
      <c r="L103" s="5"/>
      <c r="M103" s="5"/>
      <c r="N103" s="5"/>
      <c r="O103" s="5"/>
      <c r="P103" s="5"/>
      <c r="Q103" s="5"/>
    </row>
    <row r="104" spans="1:17" ht="16.05" customHeight="1" thickTop="1" thickBot="1">
      <c r="A104" s="522" t="s">
        <v>25</v>
      </c>
      <c r="B104" s="523"/>
      <c r="C104" s="523"/>
      <c r="D104" s="523"/>
      <c r="E104" s="523"/>
      <c r="F104" s="523"/>
      <c r="G104" s="96">
        <f>SUM(G93:G103)</f>
        <v>0</v>
      </c>
      <c r="H104" s="251">
        <f>G104</f>
        <v>0</v>
      </c>
      <c r="I104" s="5"/>
      <c r="J104" s="5"/>
      <c r="K104" s="5"/>
      <c r="L104" s="5"/>
      <c r="M104" s="5"/>
      <c r="N104" s="5"/>
      <c r="O104" s="5"/>
      <c r="P104" s="5"/>
      <c r="Q104" s="5"/>
    </row>
    <row r="105" spans="1:17" ht="16.05" customHeight="1" thickTop="1" thickBot="1">
      <c r="A105" s="522" t="s">
        <v>157</v>
      </c>
      <c r="B105" s="523"/>
      <c r="C105" s="523"/>
      <c r="D105" s="523"/>
      <c r="E105" s="47">
        <v>0.05</v>
      </c>
      <c r="F105" s="42"/>
      <c r="G105" s="97">
        <f>G104*(1-E105)</f>
        <v>0</v>
      </c>
      <c r="H105" s="251">
        <f t="shared" ref="H105:H106" si="15">G105</f>
        <v>0</v>
      </c>
      <c r="I105" s="5"/>
      <c r="J105" s="5"/>
      <c r="K105" s="5"/>
      <c r="L105" s="5"/>
      <c r="M105" s="5"/>
      <c r="N105" s="5"/>
      <c r="O105" s="5"/>
      <c r="P105" s="5"/>
      <c r="Q105" s="5"/>
    </row>
    <row r="106" spans="1:17" ht="16.05" customHeight="1" thickTop="1" thickBot="1">
      <c r="A106" s="547" t="s">
        <v>143</v>
      </c>
      <c r="B106" s="548"/>
      <c r="C106" s="548"/>
      <c r="D106" s="548"/>
      <c r="E106" s="548"/>
      <c r="F106" s="548"/>
      <c r="G106" s="99">
        <f>G105*1.21</f>
        <v>0</v>
      </c>
      <c r="H106" s="251">
        <f t="shared" si="15"/>
        <v>0</v>
      </c>
      <c r="I106" s="5"/>
      <c r="J106" s="5"/>
      <c r="K106" s="5"/>
      <c r="L106" s="5"/>
      <c r="M106" s="5"/>
      <c r="N106" s="5"/>
      <c r="O106" s="5"/>
      <c r="P106" s="5"/>
      <c r="Q106" s="5"/>
    </row>
    <row r="107" spans="1:17" ht="15.45" customHeight="1" thickTop="1">
      <c r="A107" s="14"/>
      <c r="B107" s="15"/>
      <c r="C107" s="15"/>
      <c r="D107" s="15"/>
      <c r="E107" s="15"/>
      <c r="F107" s="15"/>
      <c r="G107" s="15"/>
      <c r="H107" s="251">
        <f>G125</f>
        <v>0</v>
      </c>
      <c r="I107" s="5"/>
      <c r="J107" s="5"/>
      <c r="K107" s="5"/>
      <c r="L107" s="5"/>
      <c r="M107" s="5"/>
      <c r="N107" s="5"/>
      <c r="O107" s="5"/>
      <c r="P107" s="5"/>
      <c r="Q107" s="5"/>
    </row>
    <row r="108" spans="1:17" ht="18" customHeight="1">
      <c r="A108" s="593" t="s">
        <v>178</v>
      </c>
      <c r="B108" s="593"/>
      <c r="C108" s="593"/>
      <c r="D108" s="593"/>
      <c r="E108" s="593"/>
      <c r="F108" s="593"/>
      <c r="G108" s="593"/>
      <c r="H108" s="251">
        <f>G125</f>
        <v>0</v>
      </c>
      <c r="I108" s="5"/>
      <c r="J108" s="5"/>
      <c r="K108" s="5"/>
      <c r="L108" s="5"/>
      <c r="M108" s="5"/>
      <c r="N108" s="5"/>
      <c r="O108" s="5"/>
      <c r="P108" s="5"/>
      <c r="Q108" s="5"/>
    </row>
    <row r="109" spans="1:17" ht="16.05" customHeight="1">
      <c r="A109" s="544"/>
      <c r="B109" s="544"/>
      <c r="C109" s="544"/>
      <c r="D109" s="544"/>
      <c r="E109" s="544"/>
      <c r="F109" s="544"/>
      <c r="G109" s="544"/>
      <c r="H109" s="251">
        <f>G125</f>
        <v>0</v>
      </c>
      <c r="I109" s="5"/>
      <c r="J109" s="5"/>
      <c r="K109" s="5"/>
      <c r="L109" s="5"/>
      <c r="M109" s="5"/>
      <c r="N109" s="5"/>
      <c r="O109" s="5"/>
      <c r="P109" s="5"/>
      <c r="Q109" s="5"/>
    </row>
    <row r="110" spans="1:17" ht="19.5" customHeight="1" thickBot="1">
      <c r="A110" s="16"/>
      <c r="B110" s="15"/>
      <c r="C110" s="15"/>
      <c r="D110" s="15"/>
      <c r="E110" s="15"/>
      <c r="F110" s="15"/>
      <c r="G110" s="15"/>
      <c r="H110" s="251">
        <f>G125</f>
        <v>0</v>
      </c>
      <c r="I110" s="5"/>
      <c r="J110" s="5"/>
      <c r="K110" s="5"/>
      <c r="L110" s="5"/>
      <c r="M110" s="5"/>
      <c r="N110" s="5"/>
      <c r="O110" s="5"/>
      <c r="P110" s="5"/>
      <c r="Q110" s="5"/>
    </row>
    <row r="111" spans="1:17" ht="18" customHeight="1" thickTop="1">
      <c r="A111" s="6" t="s">
        <v>1</v>
      </c>
      <c r="B111" s="518" t="s">
        <v>3</v>
      </c>
      <c r="C111" s="518" t="s">
        <v>4</v>
      </c>
      <c r="D111" s="518" t="s">
        <v>5</v>
      </c>
      <c r="E111" s="518" t="s">
        <v>6</v>
      </c>
      <c r="F111" s="7" t="s">
        <v>7</v>
      </c>
      <c r="G111" s="8" t="s">
        <v>9</v>
      </c>
      <c r="H111" s="251">
        <f>G125</f>
        <v>0</v>
      </c>
      <c r="I111" s="5"/>
      <c r="J111" s="5"/>
      <c r="K111" s="5"/>
      <c r="L111" s="5"/>
      <c r="M111" s="5"/>
      <c r="N111" s="5"/>
      <c r="O111" s="5"/>
      <c r="P111" s="5"/>
      <c r="Q111" s="5"/>
    </row>
    <row r="112" spans="1:17" ht="24" customHeight="1" thickBot="1">
      <c r="A112" s="17" t="s">
        <v>2</v>
      </c>
      <c r="B112" s="519"/>
      <c r="C112" s="519"/>
      <c r="D112" s="519"/>
      <c r="E112" s="519"/>
      <c r="F112" s="18" t="s">
        <v>8</v>
      </c>
      <c r="G112" s="19" t="s">
        <v>8</v>
      </c>
      <c r="H112" s="251">
        <f>G125</f>
        <v>0</v>
      </c>
      <c r="I112" s="5"/>
      <c r="J112" s="5"/>
      <c r="K112" s="5"/>
      <c r="L112" s="5"/>
      <c r="M112" s="5"/>
      <c r="N112" s="5"/>
      <c r="O112" s="5"/>
      <c r="P112" s="5"/>
      <c r="Q112" s="5"/>
    </row>
    <row r="113" spans="1:17" ht="16.05" customHeight="1" thickTop="1" thickBot="1">
      <c r="A113" s="571" t="s">
        <v>27</v>
      </c>
      <c r="B113" s="572"/>
      <c r="C113" s="572"/>
      <c r="D113" s="165"/>
      <c r="E113" s="165"/>
      <c r="F113" s="165"/>
      <c r="G113" s="153"/>
      <c r="H113" s="248">
        <f>SUM(H114:H116)</f>
        <v>0</v>
      </c>
      <c r="I113" s="5"/>
      <c r="J113" s="5"/>
      <c r="K113" s="5"/>
      <c r="L113" s="5"/>
      <c r="M113" s="5"/>
      <c r="N113" s="5"/>
      <c r="O113" s="5"/>
      <c r="P113" s="5"/>
      <c r="Q113" s="5"/>
    </row>
    <row r="114" spans="1:17" ht="28.05" customHeight="1" thickTop="1" thickBot="1">
      <c r="A114" s="12"/>
      <c r="B114" s="3" t="s">
        <v>376</v>
      </c>
      <c r="C114" s="13" t="s">
        <v>379</v>
      </c>
      <c r="D114" s="3" t="s">
        <v>11</v>
      </c>
      <c r="E114" s="3">
        <f>'CalculSpeeTile10+SpeeTherm15-30'!K22</f>
        <v>0</v>
      </c>
      <c r="F114" s="150">
        <v>229</v>
      </c>
      <c r="G114" s="33">
        <f>E114*F114</f>
        <v>0</v>
      </c>
      <c r="H114" s="248">
        <f>E114</f>
        <v>0</v>
      </c>
      <c r="I114" s="5"/>
      <c r="J114" s="5"/>
      <c r="K114" s="5"/>
      <c r="L114" s="5"/>
      <c r="M114" s="5"/>
      <c r="N114" s="5"/>
      <c r="O114" s="5"/>
      <c r="P114" s="5"/>
      <c r="Q114" s="5"/>
    </row>
    <row r="115" spans="1:17" ht="16.05" customHeight="1" thickBot="1">
      <c r="A115" s="12"/>
      <c r="B115" s="3" t="s">
        <v>29</v>
      </c>
      <c r="C115" s="13" t="s">
        <v>30</v>
      </c>
      <c r="D115" s="3" t="s">
        <v>11</v>
      </c>
      <c r="E115" s="3">
        <f>'CalculSpeeTile10+SpeeTherm15-30'!H24</f>
        <v>0</v>
      </c>
      <c r="F115" s="150">
        <v>17</v>
      </c>
      <c r="G115" s="33">
        <f t="shared" ref="G115:G124" si="16">E115*F115</f>
        <v>0</v>
      </c>
      <c r="H115" s="248">
        <f t="shared" ref="H115:H116" si="17">E115</f>
        <v>0</v>
      </c>
      <c r="I115" s="5"/>
      <c r="J115" s="5"/>
      <c r="K115" s="5"/>
      <c r="L115" s="5"/>
      <c r="M115" s="5"/>
      <c r="N115" s="5"/>
      <c r="O115" s="5"/>
      <c r="P115" s="5"/>
      <c r="Q115" s="5"/>
    </row>
    <row r="116" spans="1:17" ht="16.05" customHeight="1" thickBot="1">
      <c r="A116" s="35"/>
      <c r="B116" s="40" t="s">
        <v>377</v>
      </c>
      <c r="C116" s="37" t="s">
        <v>378</v>
      </c>
      <c r="D116" s="40" t="s">
        <v>11</v>
      </c>
      <c r="E116" s="40">
        <f>'CalculSpeeTile10+SpeeTherm15-30'!J22</f>
        <v>0</v>
      </c>
      <c r="F116" s="432">
        <v>63</v>
      </c>
      <c r="G116" s="38">
        <f t="shared" si="16"/>
        <v>0</v>
      </c>
      <c r="H116" s="248">
        <f t="shared" si="17"/>
        <v>0</v>
      </c>
      <c r="I116" s="5"/>
      <c r="J116" s="5"/>
      <c r="K116" s="5"/>
      <c r="L116" s="5"/>
      <c r="M116" s="5"/>
      <c r="N116" s="5"/>
      <c r="O116" s="5"/>
      <c r="P116" s="5"/>
      <c r="Q116" s="5"/>
    </row>
    <row r="117" spans="1:17" ht="16.05" customHeight="1" thickTop="1" thickBot="1">
      <c r="A117" s="571" t="s">
        <v>326</v>
      </c>
      <c r="B117" s="572"/>
      <c r="C117" s="572"/>
      <c r="D117" s="165"/>
      <c r="E117" s="165"/>
      <c r="F117" s="165"/>
      <c r="G117" s="166"/>
      <c r="H117" s="248">
        <f>SUM(H118:H120)</f>
        <v>0</v>
      </c>
      <c r="I117" s="5"/>
      <c r="J117" s="5"/>
      <c r="K117" s="5"/>
      <c r="L117" s="5"/>
      <c r="M117" s="5"/>
      <c r="N117" s="5"/>
      <c r="O117" s="5"/>
      <c r="P117" s="5"/>
      <c r="Q117" s="5"/>
    </row>
    <row r="118" spans="1:17" ht="28.05" customHeight="1" thickTop="1" thickBot="1">
      <c r="A118" s="12"/>
      <c r="B118" s="3" t="s">
        <v>376</v>
      </c>
      <c r="C118" s="13" t="s">
        <v>379</v>
      </c>
      <c r="D118" s="3" t="s">
        <v>11</v>
      </c>
      <c r="E118" s="3">
        <f>'CalculSpeeTile10+SpeeTherm15-30'!V22</f>
        <v>0</v>
      </c>
      <c r="F118" s="150">
        <v>229</v>
      </c>
      <c r="G118" s="33">
        <f t="shared" ref="G118:G120" si="18">E118*F118</f>
        <v>0</v>
      </c>
      <c r="H118" s="248">
        <f t="shared" ref="H118:H120" si="19">E118</f>
        <v>0</v>
      </c>
      <c r="I118" s="5"/>
      <c r="J118" s="5"/>
      <c r="K118" s="5"/>
      <c r="L118" s="5"/>
      <c r="M118" s="5"/>
      <c r="N118" s="5"/>
      <c r="O118" s="5"/>
      <c r="P118" s="5"/>
      <c r="Q118" s="5"/>
    </row>
    <row r="119" spans="1:17" ht="16.05" customHeight="1" thickBot="1">
      <c r="A119" s="12"/>
      <c r="B119" s="3" t="s">
        <v>29</v>
      </c>
      <c r="C119" s="13" t="s">
        <v>30</v>
      </c>
      <c r="D119" s="3" t="s">
        <v>11</v>
      </c>
      <c r="E119" s="3">
        <f>'CalculSpeeTile10+SpeeTherm15-30'!S24</f>
        <v>0</v>
      </c>
      <c r="F119" s="150">
        <v>17</v>
      </c>
      <c r="G119" s="33">
        <f t="shared" si="18"/>
        <v>0</v>
      </c>
      <c r="H119" s="248">
        <f t="shared" si="19"/>
        <v>0</v>
      </c>
      <c r="I119" s="5"/>
      <c r="J119" s="5"/>
      <c r="K119" s="5"/>
      <c r="L119" s="5"/>
      <c r="M119" s="5"/>
      <c r="N119" s="5"/>
      <c r="O119" s="5"/>
      <c r="P119" s="5"/>
      <c r="Q119" s="5"/>
    </row>
    <row r="120" spans="1:17" ht="16.05" customHeight="1" thickBot="1">
      <c r="A120" s="161"/>
      <c r="B120" s="40" t="s">
        <v>377</v>
      </c>
      <c r="C120" s="163" t="s">
        <v>378</v>
      </c>
      <c r="D120" s="162" t="s">
        <v>11</v>
      </c>
      <c r="E120" s="40">
        <f>'CalculSpeeTile10+SpeeTherm15-30'!U22</f>
        <v>0</v>
      </c>
      <c r="F120" s="432">
        <v>63</v>
      </c>
      <c r="G120" s="164">
        <f t="shared" si="18"/>
        <v>0</v>
      </c>
      <c r="H120" s="248">
        <f t="shared" si="19"/>
        <v>0</v>
      </c>
      <c r="I120" s="5"/>
      <c r="J120" s="5"/>
      <c r="K120" s="5"/>
      <c r="L120" s="5"/>
      <c r="M120" s="5"/>
      <c r="N120" s="5"/>
      <c r="O120" s="5"/>
      <c r="P120" s="5"/>
      <c r="Q120" s="5"/>
    </row>
    <row r="121" spans="1:17" ht="16.05" customHeight="1" thickTop="1" thickBot="1">
      <c r="A121" s="571" t="s">
        <v>32</v>
      </c>
      <c r="B121" s="572"/>
      <c r="C121" s="572"/>
      <c r="D121" s="165"/>
      <c r="E121" s="165"/>
      <c r="F121" s="433"/>
      <c r="G121" s="166"/>
      <c r="H121" s="248">
        <f>SUM(H122:H124)</f>
        <v>0</v>
      </c>
    </row>
    <row r="122" spans="1:17" ht="28.05" customHeight="1" thickTop="1" thickBot="1">
      <c r="A122" s="12"/>
      <c r="B122" s="3" t="s">
        <v>376</v>
      </c>
      <c r="C122" s="13" t="s">
        <v>379</v>
      </c>
      <c r="D122" s="3" t="s">
        <v>11</v>
      </c>
      <c r="E122" s="3">
        <f>'CalculSpeeTile10+SpeeTherm15-30'!AG22</f>
        <v>0</v>
      </c>
      <c r="F122" s="150">
        <v>229</v>
      </c>
      <c r="G122" s="33">
        <f t="shared" si="16"/>
        <v>0</v>
      </c>
      <c r="H122" s="248">
        <f>E122</f>
        <v>0</v>
      </c>
    </row>
    <row r="123" spans="1:17" ht="16.05" customHeight="1" thickBot="1">
      <c r="A123" s="12"/>
      <c r="B123" s="3" t="s">
        <v>29</v>
      </c>
      <c r="C123" s="13" t="s">
        <v>30</v>
      </c>
      <c r="D123" s="3" t="s">
        <v>11</v>
      </c>
      <c r="E123" s="3">
        <f>'CalculSpeeTile10+SpeeTherm15-30'!AD24</f>
        <v>0</v>
      </c>
      <c r="F123" s="150">
        <v>17</v>
      </c>
      <c r="G123" s="33">
        <f t="shared" si="16"/>
        <v>0</v>
      </c>
      <c r="H123" s="248">
        <f t="shared" ref="H123:H124" si="20">E123</f>
        <v>0</v>
      </c>
    </row>
    <row r="124" spans="1:17" ht="16.05" customHeight="1" thickBot="1">
      <c r="A124" s="35"/>
      <c r="B124" s="40" t="s">
        <v>377</v>
      </c>
      <c r="C124" s="37" t="s">
        <v>378</v>
      </c>
      <c r="D124" s="40" t="s">
        <v>11</v>
      </c>
      <c r="E124" s="40">
        <f>'CalculSpeeTile10+SpeeTherm15-30'!AF22</f>
        <v>0</v>
      </c>
      <c r="F124" s="432">
        <v>63</v>
      </c>
      <c r="G124" s="38">
        <f t="shared" si="16"/>
        <v>0</v>
      </c>
      <c r="H124" s="248">
        <f t="shared" si="20"/>
        <v>0</v>
      </c>
    </row>
    <row r="125" spans="1:17" ht="16.05" customHeight="1" thickTop="1" thickBot="1">
      <c r="A125" s="522" t="s">
        <v>25</v>
      </c>
      <c r="B125" s="523"/>
      <c r="C125" s="523"/>
      <c r="D125" s="523"/>
      <c r="E125" s="523"/>
      <c r="F125" s="577"/>
      <c r="G125" s="96">
        <f>SUM(G114:G124)</f>
        <v>0</v>
      </c>
      <c r="H125" s="251">
        <f>G125</f>
        <v>0</v>
      </c>
    </row>
    <row r="126" spans="1:17" ht="16.05" customHeight="1" thickTop="1" thickBot="1">
      <c r="A126" s="522" t="s">
        <v>157</v>
      </c>
      <c r="B126" s="523"/>
      <c r="C126" s="523"/>
      <c r="D126" s="523"/>
      <c r="E126" s="47">
        <v>0.05</v>
      </c>
      <c r="F126" s="42"/>
      <c r="G126" s="97">
        <f>G125*(1-E126)</f>
        <v>0</v>
      </c>
      <c r="H126" s="251">
        <f t="shared" ref="H126:H127" si="21">G126</f>
        <v>0</v>
      </c>
    </row>
    <row r="127" spans="1:17" ht="16.05" customHeight="1" thickTop="1" thickBot="1">
      <c r="A127" s="522" t="s">
        <v>143</v>
      </c>
      <c r="B127" s="523"/>
      <c r="C127" s="523"/>
      <c r="D127" s="523"/>
      <c r="E127" s="523"/>
      <c r="F127" s="577"/>
      <c r="G127" s="98">
        <f>G126*1.21</f>
        <v>0</v>
      </c>
      <c r="H127" s="251">
        <f t="shared" si="21"/>
        <v>0</v>
      </c>
    </row>
    <row r="128" spans="1:17" ht="12.45" customHeight="1" thickTop="1">
      <c r="A128" s="53"/>
      <c r="B128" s="53"/>
      <c r="C128" s="53"/>
      <c r="D128" s="53"/>
      <c r="E128" s="53"/>
      <c r="F128" s="53"/>
      <c r="G128" s="70"/>
      <c r="H128" s="251"/>
    </row>
    <row r="129" spans="1:26" ht="18.75" customHeight="1" thickBot="1">
      <c r="A129" s="520" t="s">
        <v>335</v>
      </c>
      <c r="B129" s="521"/>
      <c r="C129" s="521"/>
      <c r="D129" s="521"/>
      <c r="E129" s="521"/>
      <c r="F129" s="521"/>
      <c r="G129" s="521"/>
      <c r="H129" s="251">
        <f>SUM(H130:H134)</f>
        <v>0</v>
      </c>
      <c r="I129" s="576"/>
      <c r="O129" s="552"/>
    </row>
    <row r="130" spans="1:26" ht="18" customHeight="1" thickTop="1">
      <c r="A130" s="6" t="s">
        <v>1</v>
      </c>
      <c r="B130" s="518"/>
      <c r="C130" s="518" t="s">
        <v>4</v>
      </c>
      <c r="D130" s="518" t="s">
        <v>5</v>
      </c>
      <c r="E130" s="518" t="s">
        <v>6</v>
      </c>
      <c r="F130" s="7" t="s">
        <v>7</v>
      </c>
      <c r="G130" s="8" t="s">
        <v>9</v>
      </c>
      <c r="H130" s="251">
        <f>G134</f>
        <v>0</v>
      </c>
      <c r="I130" s="576"/>
      <c r="O130" s="552"/>
    </row>
    <row r="131" spans="1:26" ht="18" customHeight="1" thickBot="1">
      <c r="A131" s="9" t="s">
        <v>2</v>
      </c>
      <c r="B131" s="519"/>
      <c r="C131" s="519"/>
      <c r="D131" s="519"/>
      <c r="E131" s="519"/>
      <c r="F131" s="10" t="s">
        <v>330</v>
      </c>
      <c r="G131" s="11" t="s">
        <v>330</v>
      </c>
      <c r="H131" s="251">
        <f>G134</f>
        <v>0</v>
      </c>
      <c r="I131" s="576"/>
      <c r="O131" s="552"/>
    </row>
    <row r="132" spans="1:26" ht="18" customHeight="1" thickTop="1" thickBot="1">
      <c r="A132" s="12"/>
      <c r="B132" s="3"/>
      <c r="C132" s="13" t="s">
        <v>329</v>
      </c>
      <c r="D132" s="3" t="s">
        <v>92</v>
      </c>
      <c r="E132" s="212">
        <f>'CalculSpeeTile10+SpeeTherm15-30'!B20+'CalculSpeeTile10+SpeeTherm15-30'!M20+'CalculSpeeTile10+SpeeTherm15-30'!X20</f>
        <v>0</v>
      </c>
      <c r="F132" s="150">
        <v>13</v>
      </c>
      <c r="G132" s="33">
        <f>E132*F132</f>
        <v>0</v>
      </c>
      <c r="H132" s="251">
        <f>E132</f>
        <v>0</v>
      </c>
      <c r="I132" s="576"/>
      <c r="O132" s="552"/>
    </row>
    <row r="133" spans="1:26" ht="18" customHeight="1" thickBot="1">
      <c r="A133" s="434"/>
      <c r="B133" s="30"/>
      <c r="C133" s="31" t="s">
        <v>332</v>
      </c>
      <c r="D133" s="30" t="s">
        <v>331</v>
      </c>
      <c r="E133" s="160">
        <f>IF(AND(E93=1, E97=1, E101=1), 3,
IF(OR(AND(E93=1, E97=1), AND(E93=1, E101=1), AND(E97=1, E101=1)), 2,
IF(OR(E93=1, E97=1, E101=1), 1, 0)))</f>
        <v>0</v>
      </c>
      <c r="F133" s="150">
        <v>170</v>
      </c>
      <c r="G133" s="238">
        <f t="shared" ref="G133" si="22">E133*F133</f>
        <v>0</v>
      </c>
      <c r="H133" s="251">
        <f t="shared" ref="H133:H141" si="23">E133</f>
        <v>0</v>
      </c>
      <c r="I133" s="576"/>
      <c r="O133" s="552"/>
    </row>
    <row r="134" spans="1:26" ht="18" customHeight="1" thickTop="1" thickBot="1">
      <c r="A134" s="522" t="s">
        <v>334</v>
      </c>
      <c r="B134" s="523"/>
      <c r="C134" s="523"/>
      <c r="D134" s="523"/>
      <c r="E134" s="523"/>
      <c r="F134" s="523"/>
      <c r="G134" s="98">
        <f>SUM(G132:G133)</f>
        <v>0</v>
      </c>
      <c r="H134" s="251">
        <f>G134</f>
        <v>0</v>
      </c>
      <c r="I134" s="576"/>
      <c r="O134" s="552"/>
    </row>
    <row r="135" spans="1:26" ht="18" customHeight="1" thickTop="1">
      <c r="A135" s="53"/>
      <c r="B135" s="53"/>
      <c r="C135" s="53"/>
      <c r="D135" s="53"/>
      <c r="E135" s="53"/>
      <c r="F135" s="53"/>
      <c r="G135" s="70"/>
      <c r="H135" s="251">
        <f>SUM(H130:H134)</f>
        <v>0</v>
      </c>
      <c r="I135" s="576"/>
      <c r="J135" s="79"/>
      <c r="K135" s="80"/>
      <c r="L135" s="80"/>
      <c r="M135" s="78"/>
      <c r="N135" s="78"/>
      <c r="O135" s="552"/>
      <c r="P135" s="49"/>
      <c r="Q135" s="92"/>
      <c r="R135" s="92"/>
      <c r="S135" s="92"/>
      <c r="T135" s="69"/>
      <c r="U135" s="69"/>
      <c r="V135" s="93"/>
      <c r="W135" s="88"/>
      <c r="X135" s="89"/>
      <c r="Y135" s="89"/>
      <c r="Z135" s="69"/>
    </row>
    <row r="136" spans="1:26" ht="18.75" customHeight="1">
      <c r="A136" s="520" t="s">
        <v>336</v>
      </c>
      <c r="B136" s="521"/>
      <c r="C136" s="521"/>
      <c r="D136" s="521"/>
      <c r="E136" s="521"/>
      <c r="F136" s="521"/>
      <c r="G136" s="521"/>
      <c r="H136" s="251">
        <f>SUM(H138:H142)</f>
        <v>0</v>
      </c>
      <c r="I136" s="576"/>
      <c r="O136" s="552"/>
    </row>
    <row r="137" spans="1:26" ht="15" thickBot="1">
      <c r="A137" s="53"/>
      <c r="B137" s="53"/>
      <c r="C137" s="53"/>
      <c r="D137" s="53"/>
      <c r="E137" s="53"/>
      <c r="F137" s="53"/>
      <c r="G137" s="70"/>
      <c r="H137" s="251">
        <f>G142</f>
        <v>0</v>
      </c>
      <c r="I137" s="576"/>
      <c r="O137" s="552"/>
    </row>
    <row r="138" spans="1:26" ht="18" customHeight="1" thickTop="1">
      <c r="A138" s="6" t="s">
        <v>1</v>
      </c>
      <c r="B138" s="518"/>
      <c r="C138" s="518" t="s">
        <v>4</v>
      </c>
      <c r="D138" s="518" t="s">
        <v>5</v>
      </c>
      <c r="E138" s="518" t="s">
        <v>6</v>
      </c>
      <c r="F138" s="7" t="s">
        <v>7</v>
      </c>
      <c r="G138" s="8" t="s">
        <v>9</v>
      </c>
      <c r="H138" s="251">
        <f>G142</f>
        <v>0</v>
      </c>
      <c r="I138" s="576"/>
      <c r="O138" s="552"/>
    </row>
    <row r="139" spans="1:26" ht="18" customHeight="1" thickBot="1">
      <c r="A139" s="9" t="s">
        <v>2</v>
      </c>
      <c r="B139" s="519"/>
      <c r="C139" s="519"/>
      <c r="D139" s="519"/>
      <c r="E139" s="519"/>
      <c r="F139" s="10" t="s">
        <v>330</v>
      </c>
      <c r="G139" s="11" t="s">
        <v>330</v>
      </c>
      <c r="H139" s="251">
        <f>G142</f>
        <v>0</v>
      </c>
      <c r="I139" s="576"/>
      <c r="O139" s="552"/>
    </row>
    <row r="140" spans="1:26" ht="18" customHeight="1" thickTop="1" thickBot="1">
      <c r="A140" s="12"/>
      <c r="B140" s="3"/>
      <c r="C140" s="13" t="s">
        <v>329</v>
      </c>
      <c r="D140" s="3" t="s">
        <v>92</v>
      </c>
      <c r="E140" s="212">
        <f>'CalculSpeeTile10+SpeeTherm15-30'!B20+'CalculSpeeTile10+SpeeTherm15-30'!M20+'CalculSpeeTile10+SpeeTherm15-30'!X20</f>
        <v>0</v>
      </c>
      <c r="F140" s="150">
        <v>13</v>
      </c>
      <c r="G140" s="33">
        <f>E140*F140</f>
        <v>0</v>
      </c>
      <c r="H140" s="251">
        <f t="shared" si="23"/>
        <v>0</v>
      </c>
      <c r="I140" s="576"/>
      <c r="O140" s="552"/>
    </row>
    <row r="141" spans="1:26" ht="18" customHeight="1" thickBot="1">
      <c r="A141" s="435"/>
      <c r="B141" s="436"/>
      <c r="C141" s="31" t="s">
        <v>333</v>
      </c>
      <c r="D141" s="30" t="s">
        <v>331</v>
      </c>
      <c r="E141" s="169">
        <f>IF(AND(E114=1, E118=1, E122=1), 3,
IF(OR(AND(E114=1, E118=1), AND(E114=1, E122=1), AND(E118=1, E122=1)), 2,
IF(OR(E114=1, E118=1, E122=1), 1, 0)))</f>
        <v>0</v>
      </c>
      <c r="F141" s="432">
        <v>110</v>
      </c>
      <c r="G141" s="437">
        <f t="shared" ref="G141" si="24">E141*F141</f>
        <v>0</v>
      </c>
      <c r="H141" s="251">
        <f t="shared" si="23"/>
        <v>0</v>
      </c>
      <c r="I141" s="576"/>
      <c r="O141" s="552"/>
    </row>
    <row r="142" spans="1:26" ht="18" customHeight="1" thickTop="1" thickBot="1">
      <c r="A142" s="522" t="s">
        <v>334</v>
      </c>
      <c r="B142" s="523"/>
      <c r="C142" s="523"/>
      <c r="D142" s="523"/>
      <c r="E142" s="523"/>
      <c r="F142" s="523"/>
      <c r="G142" s="98">
        <f>SUM(G140:G141)</f>
        <v>0</v>
      </c>
      <c r="H142" s="251">
        <f>G142</f>
        <v>0</v>
      </c>
      <c r="I142" s="576"/>
      <c r="O142" s="552"/>
    </row>
    <row r="143" spans="1:26" ht="18" customHeight="1" thickTop="1">
      <c r="A143" s="544" t="s">
        <v>169</v>
      </c>
      <c r="B143" s="544"/>
      <c r="C143" s="544"/>
      <c r="D143" s="544"/>
      <c r="E143" s="544"/>
      <c r="F143" s="544"/>
      <c r="G143" s="544"/>
      <c r="I143" s="576"/>
      <c r="J143" s="81"/>
      <c r="K143" s="82"/>
      <c r="L143" s="80"/>
      <c r="M143" s="78"/>
      <c r="N143" s="78"/>
      <c r="O143" s="552"/>
      <c r="P143" s="49"/>
      <c r="Q143" s="50"/>
      <c r="R143" s="50"/>
      <c r="S143" s="50"/>
    </row>
    <row r="144" spans="1:26" ht="18" customHeight="1">
      <c r="A144" s="559" t="s">
        <v>170</v>
      </c>
      <c r="B144" s="559"/>
      <c r="C144" s="559"/>
      <c r="D144" s="559"/>
      <c r="E144" s="559"/>
      <c r="F144" s="559"/>
      <c r="G144" s="559"/>
      <c r="I144" s="576"/>
      <c r="J144" s="79"/>
      <c r="K144" s="80"/>
      <c r="L144" s="80"/>
      <c r="M144" s="78"/>
      <c r="N144" s="78"/>
      <c r="O144" s="552"/>
      <c r="P144" s="49"/>
      <c r="Q144" s="50"/>
      <c r="R144" s="50"/>
      <c r="S144" s="50"/>
    </row>
    <row r="145" spans="1:26" ht="27" customHeight="1">
      <c r="A145" s="559" t="s">
        <v>177</v>
      </c>
      <c r="B145" s="559"/>
      <c r="C145" s="559"/>
      <c r="D145" s="559"/>
      <c r="E145" s="559"/>
      <c r="F145" s="559"/>
      <c r="G145" s="559"/>
      <c r="I145" s="576"/>
      <c r="J145" s="79"/>
      <c r="K145" s="80"/>
      <c r="L145" s="80"/>
      <c r="M145" s="78"/>
      <c r="N145" s="78"/>
      <c r="O145" s="552"/>
      <c r="P145" s="49"/>
      <c r="Q145" s="50"/>
      <c r="R145" s="50"/>
      <c r="S145" s="50"/>
    </row>
    <row r="146" spans="1:26" ht="28.95" customHeight="1">
      <c r="A146" s="559" t="s">
        <v>328</v>
      </c>
      <c r="B146" s="559"/>
      <c r="C146" s="559"/>
      <c r="D146" s="559"/>
      <c r="E146" s="559"/>
      <c r="F146" s="559"/>
      <c r="G146" s="559"/>
      <c r="I146" s="576"/>
      <c r="J146" s="81"/>
      <c r="K146" s="82"/>
      <c r="L146" s="83"/>
      <c r="M146" s="84"/>
      <c r="N146" s="84"/>
      <c r="O146" s="552"/>
      <c r="P146" s="49"/>
      <c r="Q146" s="50"/>
      <c r="R146" s="50"/>
      <c r="S146" s="50"/>
    </row>
    <row r="147" spans="1:26" ht="28.05" customHeight="1">
      <c r="A147" s="559" t="s">
        <v>174</v>
      </c>
      <c r="B147" s="559"/>
      <c r="C147" s="559"/>
      <c r="D147" s="559"/>
      <c r="E147" s="559"/>
      <c r="F147" s="559"/>
      <c r="G147" s="559"/>
      <c r="I147" s="576"/>
      <c r="J147" s="79"/>
      <c r="K147" s="80"/>
      <c r="L147" s="80"/>
      <c r="M147" s="78"/>
      <c r="N147" s="78"/>
      <c r="O147" s="552"/>
      <c r="P147" s="49"/>
      <c r="Q147" s="50"/>
      <c r="R147" s="50"/>
      <c r="S147" s="50"/>
    </row>
    <row r="148" spans="1:26" ht="9" customHeight="1">
      <c r="A148" s="16"/>
      <c r="B148" s="16"/>
      <c r="C148" s="16"/>
      <c r="D148" s="16"/>
      <c r="E148" s="16"/>
      <c r="F148" s="16"/>
      <c r="G148" s="16"/>
      <c r="I148" s="576"/>
      <c r="J148" s="79"/>
      <c r="K148" s="80"/>
      <c r="L148" s="80"/>
      <c r="M148" s="78"/>
      <c r="N148" s="78"/>
      <c r="O148" s="552"/>
      <c r="P148" s="49"/>
      <c r="Q148" s="50"/>
      <c r="R148" s="50"/>
      <c r="S148" s="50"/>
    </row>
    <row r="149" spans="1:26" ht="18" customHeight="1">
      <c r="A149" s="560" t="s">
        <v>142</v>
      </c>
      <c r="B149" s="560"/>
      <c r="C149" s="560"/>
      <c r="G149" s="44"/>
      <c r="I149" s="576"/>
      <c r="J149" s="79"/>
      <c r="K149" s="80"/>
      <c r="L149" s="80"/>
      <c r="M149" s="78"/>
      <c r="N149" s="78"/>
      <c r="O149" s="552"/>
      <c r="P149" s="49"/>
      <c r="Q149" s="50"/>
      <c r="R149" s="50"/>
      <c r="S149" s="50"/>
    </row>
    <row r="150" spans="1:26" ht="18" customHeight="1">
      <c r="A150" s="561" t="s">
        <v>324</v>
      </c>
      <c r="B150" s="561"/>
      <c r="C150" s="561"/>
      <c r="D150" s="196"/>
      <c r="E150" s="210"/>
      <c r="F150" s="210"/>
      <c r="G150" s="211"/>
      <c r="I150" s="576"/>
      <c r="J150" s="79"/>
      <c r="K150" s="80"/>
      <c r="L150" s="80"/>
      <c r="M150" s="78"/>
      <c r="N150" s="78"/>
      <c r="O150" s="552"/>
      <c r="P150" s="49"/>
      <c r="Q150" s="50"/>
      <c r="R150" s="50"/>
      <c r="S150" s="50"/>
    </row>
    <row r="151" spans="1:26" ht="18" customHeight="1">
      <c r="A151" s="544" t="s">
        <v>56</v>
      </c>
      <c r="B151" s="544"/>
      <c r="C151" s="544"/>
      <c r="D151" s="544"/>
      <c r="E151" s="544"/>
      <c r="F151" s="544"/>
      <c r="G151" s="544"/>
      <c r="I151" s="576"/>
      <c r="J151" s="79"/>
      <c r="K151" s="80"/>
      <c r="L151" s="80"/>
      <c r="M151" s="78"/>
      <c r="N151" s="78"/>
      <c r="O151" s="552"/>
      <c r="P151" s="49"/>
      <c r="Q151" s="50"/>
      <c r="R151" s="50"/>
      <c r="S151" s="50"/>
    </row>
    <row r="152" spans="1:26" ht="18" customHeight="1">
      <c r="A152" s="544" t="s">
        <v>93</v>
      </c>
      <c r="B152" s="544"/>
      <c r="C152" s="544"/>
      <c r="D152" s="544"/>
      <c r="E152" s="544"/>
      <c r="F152" s="544"/>
      <c r="G152" s="544"/>
      <c r="I152" s="576"/>
      <c r="J152" s="79"/>
      <c r="K152" s="80"/>
      <c r="L152" s="80"/>
      <c r="M152" s="78"/>
      <c r="N152" s="78"/>
      <c r="O152" s="552"/>
      <c r="P152" s="49"/>
      <c r="Q152" s="50"/>
      <c r="R152" s="50"/>
      <c r="S152" s="50"/>
      <c r="U152" s="69"/>
    </row>
    <row r="153" spans="1:26" ht="18" customHeight="1">
      <c r="A153" s="544" t="s">
        <v>57</v>
      </c>
      <c r="B153" s="544"/>
      <c r="C153" s="544"/>
      <c r="D153" s="544"/>
      <c r="E153" s="544"/>
      <c r="F153" s="544"/>
      <c r="G153" s="544"/>
      <c r="I153" s="576"/>
      <c r="J153" s="79"/>
      <c r="K153" s="80"/>
      <c r="L153" s="80"/>
      <c r="M153" s="78"/>
      <c r="N153" s="78"/>
      <c r="O153" s="552"/>
      <c r="Q153" s="50"/>
      <c r="R153" s="50"/>
      <c r="S153" s="50"/>
    </row>
    <row r="154" spans="1:26" ht="12" customHeight="1">
      <c r="A154" s="16"/>
      <c r="B154" s="15"/>
      <c r="C154" s="15"/>
      <c r="D154" s="15"/>
      <c r="E154" s="15"/>
      <c r="F154" s="15"/>
      <c r="G154" s="15"/>
      <c r="I154" s="576"/>
      <c r="J154" s="79"/>
      <c r="K154" s="80"/>
      <c r="L154" s="80"/>
      <c r="M154" s="78"/>
      <c r="N154" s="78"/>
      <c r="O154" s="552"/>
      <c r="P154" s="49"/>
      <c r="Q154" s="50"/>
      <c r="R154" s="50"/>
      <c r="S154" s="50"/>
    </row>
    <row r="155" spans="1:26" ht="18" customHeight="1">
      <c r="A155" s="15"/>
      <c r="B155" s="21" t="s">
        <v>33</v>
      </c>
      <c r="C155" s="22"/>
      <c r="D155" s="22"/>
      <c r="E155" s="22"/>
      <c r="F155" s="22"/>
      <c r="G155" s="22"/>
      <c r="I155" s="576"/>
      <c r="J155" s="79"/>
      <c r="K155" s="80"/>
      <c r="L155" s="80"/>
      <c r="M155" s="78"/>
      <c r="N155" s="78"/>
      <c r="O155" s="552"/>
      <c r="P155" s="49"/>
      <c r="Q155" s="50"/>
      <c r="R155" s="50"/>
      <c r="S155" s="50"/>
    </row>
    <row r="156" spans="1:26" ht="18" customHeight="1">
      <c r="A156" s="15"/>
      <c r="B156" s="23"/>
      <c r="C156" s="24"/>
      <c r="D156" s="24"/>
      <c r="E156" s="24"/>
      <c r="F156" s="24"/>
      <c r="G156" s="24"/>
      <c r="I156" s="576"/>
      <c r="J156" s="79"/>
      <c r="K156" s="80"/>
      <c r="L156" s="80"/>
      <c r="M156" s="78"/>
      <c r="N156" s="78"/>
      <c r="O156" s="552"/>
      <c r="P156" s="49"/>
      <c r="Q156" s="50"/>
      <c r="R156" s="50"/>
      <c r="S156" s="50"/>
    </row>
    <row r="157" spans="1:26" ht="18" customHeight="1">
      <c r="A157" s="25"/>
      <c r="B157" s="594"/>
      <c r="C157" s="595"/>
      <c r="D157" s="25"/>
      <c r="E157" s="25"/>
      <c r="F157" s="25"/>
      <c r="G157" s="25"/>
      <c r="I157" s="576"/>
      <c r="J157" s="81"/>
      <c r="K157" s="82"/>
      <c r="L157" s="80"/>
      <c r="M157" s="78"/>
      <c r="N157" s="85"/>
      <c r="O157" s="552"/>
      <c r="P157" s="49"/>
      <c r="Q157" s="50"/>
      <c r="R157" s="50"/>
      <c r="S157" s="50"/>
    </row>
    <row r="158" spans="1:26" ht="15.75" customHeight="1">
      <c r="A158" s="25"/>
      <c r="B158" s="594" t="s">
        <v>34</v>
      </c>
      <c r="C158" s="595"/>
      <c r="D158" s="25"/>
      <c r="E158" s="25"/>
      <c r="F158" s="25"/>
      <c r="G158" s="25"/>
      <c r="I158" s="576"/>
      <c r="J158" s="77"/>
      <c r="K158" s="85"/>
      <c r="L158" s="80"/>
      <c r="M158" s="78"/>
      <c r="N158" s="85"/>
      <c r="O158" s="552"/>
      <c r="P158" s="49"/>
      <c r="Q158" s="50"/>
      <c r="R158" s="50"/>
      <c r="S158" s="50"/>
    </row>
    <row r="159" spans="1:26" ht="18" customHeight="1">
      <c r="I159" s="576"/>
      <c r="J159" s="81"/>
      <c r="K159" s="82"/>
      <c r="L159" s="82"/>
      <c r="M159" s="86"/>
      <c r="N159" s="86"/>
      <c r="O159" s="552"/>
      <c r="P159" s="69"/>
      <c r="Q159" s="69"/>
      <c r="R159" s="32"/>
      <c r="S159" s="92"/>
      <c r="T159" s="94"/>
      <c r="U159" s="69"/>
      <c r="V159" s="73"/>
      <c r="W159" s="74"/>
      <c r="X159" s="89"/>
      <c r="Y159" s="89"/>
      <c r="Z159" s="69"/>
    </row>
    <row r="160" spans="1:26" ht="18" customHeight="1">
      <c r="I160" s="576"/>
      <c r="J160" s="81"/>
      <c r="K160" s="82"/>
      <c r="L160" s="82"/>
      <c r="M160" s="86"/>
      <c r="N160" s="86"/>
      <c r="O160" s="552"/>
      <c r="P160" s="69"/>
      <c r="Q160" s="69"/>
      <c r="R160" s="32"/>
      <c r="S160" s="92"/>
      <c r="T160" s="69"/>
      <c r="U160" s="69"/>
      <c r="V160" s="90"/>
      <c r="W160" s="86"/>
      <c r="X160" s="91"/>
      <c r="Y160" s="91"/>
      <c r="Z160" s="69"/>
    </row>
    <row r="161" spans="9:26" ht="18" customHeight="1">
      <c r="I161" s="576"/>
      <c r="J161" s="81"/>
      <c r="K161" s="82"/>
      <c r="L161" s="82"/>
      <c r="M161" s="86"/>
      <c r="N161" s="86"/>
      <c r="O161" s="552"/>
      <c r="P161" s="69"/>
      <c r="Q161" s="69"/>
      <c r="R161" s="32"/>
      <c r="S161" s="92"/>
      <c r="T161" s="69"/>
      <c r="U161" s="69"/>
      <c r="V161" s="73"/>
      <c r="W161" s="88"/>
      <c r="X161" s="69"/>
      <c r="Y161" s="69"/>
      <c r="Z161" s="69"/>
    </row>
    <row r="162" spans="9:26" ht="18" customHeight="1">
      <c r="I162" s="576"/>
      <c r="J162" s="81"/>
      <c r="K162" s="82"/>
      <c r="L162" s="82"/>
      <c r="M162" s="86"/>
      <c r="N162" s="86"/>
      <c r="O162" s="552"/>
      <c r="P162" s="69"/>
      <c r="Q162" s="69"/>
      <c r="R162" s="92"/>
      <c r="S162" s="92"/>
      <c r="T162" s="69"/>
      <c r="U162" s="69"/>
      <c r="V162" s="69"/>
      <c r="W162" s="69"/>
      <c r="X162" s="69"/>
      <c r="Y162" s="69"/>
      <c r="Z162" s="69"/>
    </row>
    <row r="163" spans="9:26" ht="18" customHeight="1">
      <c r="I163" s="576"/>
      <c r="J163" s="81"/>
      <c r="K163" s="82"/>
      <c r="L163" s="82"/>
      <c r="M163" s="86"/>
      <c r="N163" s="86"/>
      <c r="O163" s="552"/>
      <c r="P163" s="69"/>
      <c r="Q163" s="69"/>
      <c r="R163" s="92"/>
      <c r="S163" s="92"/>
      <c r="T163" s="69"/>
      <c r="U163" s="69"/>
      <c r="V163" s="69"/>
      <c r="W163" s="69"/>
      <c r="X163" s="69"/>
      <c r="Y163" s="69"/>
      <c r="Z163" s="69"/>
    </row>
    <row r="164" spans="9:26" ht="18" customHeight="1">
      <c r="I164" s="576"/>
      <c r="J164" s="81"/>
      <c r="K164" s="82"/>
      <c r="L164" s="82"/>
      <c r="M164" s="86"/>
      <c r="N164" s="86"/>
      <c r="O164" s="552"/>
      <c r="P164" s="100"/>
      <c r="Q164" s="101"/>
      <c r="R164" s="92"/>
      <c r="S164" s="92"/>
      <c r="T164" s="69"/>
      <c r="U164" s="69"/>
      <c r="V164" s="69"/>
      <c r="W164" s="69"/>
      <c r="X164" s="69"/>
      <c r="Y164" s="69"/>
      <c r="Z164" s="69"/>
    </row>
    <row r="165" spans="9:26" ht="18" customHeight="1">
      <c r="I165" s="576"/>
      <c r="J165" s="81"/>
      <c r="K165" s="82"/>
      <c r="L165" s="82"/>
      <c r="M165" s="86"/>
      <c r="N165" s="86"/>
      <c r="O165" s="552"/>
      <c r="P165" s="100"/>
      <c r="Q165" s="92"/>
      <c r="R165" s="92"/>
      <c r="S165" s="92"/>
      <c r="T165" s="69"/>
      <c r="U165" s="69"/>
      <c r="V165" s="69"/>
      <c r="W165" s="69"/>
      <c r="X165" s="69"/>
      <c r="Y165" s="69"/>
      <c r="Z165" s="69"/>
    </row>
    <row r="166" spans="9:26" ht="18" customHeight="1">
      <c r="I166" s="576"/>
      <c r="J166" s="81"/>
      <c r="K166" s="82"/>
      <c r="L166" s="82"/>
      <c r="M166" s="86"/>
      <c r="N166" s="86"/>
      <c r="O166" s="552"/>
      <c r="P166" s="100"/>
      <c r="Q166" s="92"/>
      <c r="R166" s="92"/>
      <c r="S166" s="92"/>
      <c r="T166" s="69"/>
      <c r="U166" s="69"/>
      <c r="V166" s="69"/>
      <c r="W166" s="69"/>
      <c r="X166" s="69"/>
      <c r="Y166" s="69"/>
      <c r="Z166" s="69"/>
    </row>
    <row r="167" spans="9:26" ht="18" customHeight="1">
      <c r="I167" s="576"/>
      <c r="J167" s="81"/>
      <c r="K167" s="82"/>
      <c r="L167" s="82"/>
      <c r="M167" s="86"/>
      <c r="N167" s="86"/>
      <c r="O167" s="552"/>
      <c r="P167" s="100"/>
      <c r="Q167" s="92"/>
      <c r="R167" s="92"/>
      <c r="S167" s="92"/>
      <c r="T167" s="69"/>
      <c r="U167" s="69"/>
      <c r="V167" s="69"/>
      <c r="W167" s="69"/>
      <c r="X167" s="69"/>
      <c r="Y167" s="69"/>
      <c r="Z167" s="69"/>
    </row>
    <row r="168" spans="9:26" ht="18" customHeight="1">
      <c r="I168" s="568"/>
      <c r="J168" s="568"/>
      <c r="K168" s="568"/>
      <c r="L168" s="73"/>
      <c r="M168" s="88"/>
      <c r="N168" s="88"/>
      <c r="O168" s="102"/>
      <c r="P168" s="100"/>
      <c r="Q168" s="92"/>
      <c r="R168" s="92"/>
      <c r="S168" s="92"/>
      <c r="T168" s="69"/>
      <c r="U168" s="69"/>
      <c r="V168" s="69"/>
      <c r="W168" s="69"/>
      <c r="X168" s="69"/>
      <c r="Y168" s="69"/>
      <c r="Z168" s="69"/>
    </row>
    <row r="169" spans="9:26">
      <c r="I169" s="575"/>
      <c r="J169" s="81"/>
      <c r="K169" s="82"/>
      <c r="L169" s="82"/>
      <c r="M169" s="86"/>
      <c r="N169" s="86"/>
      <c r="O169" s="551"/>
      <c r="P169" s="100"/>
      <c r="Q169" s="92"/>
      <c r="R169" s="92"/>
      <c r="S169" s="92"/>
      <c r="T169" s="69"/>
      <c r="U169" s="69"/>
      <c r="V169" s="69"/>
      <c r="W169" s="69"/>
      <c r="X169" s="69"/>
      <c r="Y169" s="69"/>
      <c r="Z169" s="69"/>
    </row>
    <row r="170" spans="9:26" ht="18" customHeight="1">
      <c r="I170" s="575"/>
      <c r="J170" s="81"/>
      <c r="K170" s="82"/>
      <c r="L170" s="82"/>
      <c r="M170" s="86"/>
      <c r="N170" s="86"/>
      <c r="O170" s="551"/>
      <c r="P170" s="100"/>
      <c r="Q170" s="92"/>
      <c r="R170" s="92"/>
      <c r="S170" s="92"/>
      <c r="T170" s="69"/>
      <c r="U170" s="69"/>
      <c r="V170" s="69"/>
      <c r="W170" s="69"/>
      <c r="X170" s="69"/>
      <c r="Y170" s="69"/>
      <c r="Z170" s="69"/>
    </row>
    <row r="171" spans="9:26" ht="18" customHeight="1">
      <c r="I171" s="575"/>
      <c r="J171" s="81"/>
      <c r="K171" s="82"/>
      <c r="L171" s="82"/>
      <c r="M171" s="86"/>
      <c r="N171" s="86"/>
      <c r="O171" s="551"/>
      <c r="P171" s="100"/>
      <c r="Q171" s="92"/>
      <c r="R171" s="92"/>
      <c r="S171" s="92"/>
      <c r="T171" s="69"/>
      <c r="U171" s="69"/>
      <c r="V171" s="69"/>
      <c r="W171" s="69"/>
      <c r="X171" s="69"/>
      <c r="Y171" s="69"/>
      <c r="Z171" s="69"/>
    </row>
    <row r="172" spans="9:26" ht="18" customHeight="1">
      <c r="I172" s="575"/>
      <c r="J172" s="81"/>
      <c r="K172" s="82"/>
      <c r="L172" s="82"/>
      <c r="M172" s="86"/>
      <c r="N172" s="86"/>
      <c r="O172" s="551"/>
      <c r="P172" s="100"/>
      <c r="Q172" s="92"/>
      <c r="R172" s="92"/>
      <c r="S172" s="92"/>
      <c r="T172" s="69"/>
      <c r="U172" s="69"/>
      <c r="V172" s="69"/>
      <c r="W172" s="69"/>
      <c r="X172" s="69"/>
      <c r="Y172" s="69"/>
      <c r="Z172" s="69"/>
    </row>
    <row r="173" spans="9:26" ht="18" customHeight="1">
      <c r="I173" s="575"/>
      <c r="J173" s="81"/>
      <c r="K173" s="82"/>
      <c r="L173" s="82"/>
      <c r="M173" s="86"/>
      <c r="N173" s="86"/>
      <c r="O173" s="551"/>
      <c r="P173" s="100"/>
      <c r="Q173" s="92"/>
      <c r="R173" s="92"/>
      <c r="S173" s="92"/>
      <c r="T173" s="69"/>
      <c r="U173" s="69"/>
      <c r="V173" s="69"/>
      <c r="W173" s="69"/>
      <c r="X173" s="69"/>
      <c r="Y173" s="69"/>
      <c r="Z173" s="69"/>
    </row>
    <row r="174" spans="9:26" ht="18" customHeight="1">
      <c r="I174" s="575"/>
      <c r="J174" s="81"/>
      <c r="K174" s="82"/>
      <c r="L174" s="82"/>
      <c r="M174" s="86"/>
      <c r="N174" s="86"/>
      <c r="O174" s="551"/>
      <c r="P174" s="100"/>
      <c r="Q174" s="92"/>
      <c r="R174" s="92"/>
      <c r="S174" s="92"/>
      <c r="T174" s="69"/>
      <c r="U174" s="69"/>
      <c r="V174" s="69"/>
      <c r="W174" s="69"/>
      <c r="X174" s="69"/>
      <c r="Y174" s="69"/>
      <c r="Z174" s="69"/>
    </row>
    <row r="175" spans="9:26" ht="18" customHeight="1">
      <c r="I175" s="575"/>
      <c r="J175" s="81"/>
      <c r="K175" s="82"/>
      <c r="L175" s="82"/>
      <c r="M175" s="86"/>
      <c r="N175" s="86"/>
      <c r="O175" s="551"/>
      <c r="P175" s="69"/>
      <c r="Q175" s="92"/>
      <c r="R175" s="92"/>
      <c r="S175" s="92"/>
      <c r="T175" s="69"/>
      <c r="U175" s="69"/>
      <c r="V175" s="69"/>
      <c r="W175" s="69"/>
      <c r="X175" s="69"/>
      <c r="Y175" s="69"/>
      <c r="Z175" s="69"/>
    </row>
    <row r="176" spans="9:26" ht="18" customHeight="1">
      <c r="I176" s="575"/>
      <c r="J176" s="81"/>
      <c r="K176" s="82"/>
      <c r="L176" s="82"/>
      <c r="M176" s="86"/>
      <c r="N176" s="86"/>
      <c r="O176" s="551"/>
      <c r="P176" s="100"/>
      <c r="Q176" s="92"/>
      <c r="R176" s="92"/>
      <c r="S176" s="92"/>
      <c r="T176" s="69"/>
      <c r="U176" s="69"/>
      <c r="V176" s="69"/>
      <c r="W176" s="69"/>
      <c r="X176" s="69"/>
      <c r="Y176" s="69"/>
      <c r="Z176" s="69"/>
    </row>
    <row r="177" spans="9:26" ht="18" customHeight="1">
      <c r="I177" s="575"/>
      <c r="J177" s="81"/>
      <c r="K177" s="82"/>
      <c r="L177" s="82"/>
      <c r="M177" s="86"/>
      <c r="N177" s="86"/>
      <c r="O177" s="551"/>
      <c r="P177" s="100"/>
      <c r="Q177" s="92"/>
      <c r="R177" s="92"/>
      <c r="S177" s="92"/>
      <c r="T177" s="69"/>
      <c r="U177" s="69"/>
      <c r="V177" s="69"/>
      <c r="W177" s="69"/>
      <c r="X177" s="69"/>
      <c r="Y177" s="69"/>
      <c r="Z177" s="69"/>
    </row>
    <row r="178" spans="9:26" ht="18" customHeight="1">
      <c r="I178" s="575"/>
      <c r="J178" s="81"/>
      <c r="K178" s="82"/>
      <c r="L178" s="82"/>
      <c r="M178" s="86"/>
      <c r="N178" s="86"/>
      <c r="O178" s="551"/>
      <c r="P178" s="100"/>
      <c r="Q178" s="92"/>
      <c r="R178" s="92"/>
      <c r="S178" s="92"/>
      <c r="T178" s="69"/>
      <c r="U178" s="69"/>
      <c r="V178" s="69"/>
      <c r="W178" s="69"/>
      <c r="X178" s="69"/>
      <c r="Y178" s="69"/>
      <c r="Z178" s="69"/>
    </row>
    <row r="179" spans="9:26" ht="18" customHeight="1">
      <c r="I179" s="575"/>
      <c r="J179" s="81"/>
      <c r="K179" s="82"/>
      <c r="L179" s="82"/>
      <c r="M179" s="86"/>
      <c r="N179" s="103"/>
      <c r="O179" s="551"/>
      <c r="P179" s="100"/>
      <c r="Q179" s="92"/>
      <c r="R179" s="92"/>
      <c r="S179" s="92"/>
      <c r="T179" s="69"/>
      <c r="U179" s="69"/>
      <c r="V179" s="69"/>
      <c r="W179" s="69"/>
      <c r="X179" s="69"/>
      <c r="Y179" s="69"/>
      <c r="Z179" s="69"/>
    </row>
    <row r="180" spans="9:26" ht="18" customHeight="1">
      <c r="I180" s="575"/>
      <c r="J180" s="90"/>
      <c r="K180" s="103"/>
      <c r="L180" s="82"/>
      <c r="M180" s="86"/>
      <c r="N180" s="103"/>
      <c r="O180" s="551"/>
      <c r="P180" s="100"/>
      <c r="Q180" s="92"/>
      <c r="R180" s="92"/>
      <c r="S180" s="92"/>
      <c r="T180" s="69"/>
      <c r="U180" s="69"/>
      <c r="V180" s="69"/>
      <c r="W180" s="69"/>
      <c r="X180" s="69"/>
      <c r="Y180" s="69"/>
      <c r="Z180" s="69"/>
    </row>
    <row r="181" spans="9:26" ht="18" customHeight="1">
      <c r="I181" s="568"/>
      <c r="J181" s="568"/>
      <c r="K181" s="568"/>
      <c r="L181" s="104"/>
      <c r="M181" s="88"/>
      <c r="N181" s="88"/>
      <c r="O181" s="69"/>
      <c r="P181" s="69"/>
      <c r="Q181" s="92"/>
      <c r="R181" s="92"/>
      <c r="S181" s="92"/>
      <c r="T181" s="69"/>
      <c r="U181" s="69"/>
      <c r="V181" s="69"/>
      <c r="W181" s="69"/>
      <c r="X181" s="69"/>
      <c r="Y181" s="69"/>
      <c r="Z181" s="69"/>
    </row>
    <row r="182" spans="9:26" ht="18" customHeight="1">
      <c r="I182" s="574"/>
      <c r="J182" s="574"/>
      <c r="K182" s="574"/>
      <c r="L182" s="88"/>
      <c r="M182" s="88"/>
      <c r="N182" s="92"/>
      <c r="O182" s="92"/>
      <c r="P182" s="92"/>
      <c r="Q182" s="92"/>
      <c r="R182" s="92"/>
      <c r="S182" s="92"/>
      <c r="T182" s="69"/>
      <c r="U182" s="69"/>
      <c r="V182" s="69"/>
      <c r="W182" s="69"/>
      <c r="X182" s="69"/>
      <c r="Y182" s="69"/>
      <c r="Z182" s="69"/>
    </row>
  </sheetData>
  <autoFilter ref="H15:H147" xr:uid="{00000000-0001-0000-0000-000000000000}"/>
  <mergeCells count="78">
    <mergeCell ref="I181:K181"/>
    <mergeCell ref="I182:K182"/>
    <mergeCell ref="A153:G153"/>
    <mergeCell ref="B157:C157"/>
    <mergeCell ref="B158:C158"/>
    <mergeCell ref="I168:K168"/>
    <mergeCell ref="I169:I180"/>
    <mergeCell ref="A144:G144"/>
    <mergeCell ref="O169:O180"/>
    <mergeCell ref="A146:G146"/>
    <mergeCell ref="A147:G147"/>
    <mergeCell ref="A149:C149"/>
    <mergeCell ref="A150:C150"/>
    <mergeCell ref="A151:G151"/>
    <mergeCell ref="A152:G152"/>
    <mergeCell ref="A145:G145"/>
    <mergeCell ref="I129:I167"/>
    <mergeCell ref="O129:O167"/>
    <mergeCell ref="B130:B131"/>
    <mergeCell ref="C130:C131"/>
    <mergeCell ref="D130:D131"/>
    <mergeCell ref="E130:E131"/>
    <mergeCell ref="A134:F134"/>
    <mergeCell ref="A142:F142"/>
    <mergeCell ref="A143:G143"/>
    <mergeCell ref="A117:C117"/>
    <mergeCell ref="A121:C121"/>
    <mergeCell ref="A125:F125"/>
    <mergeCell ref="A126:D126"/>
    <mergeCell ref="A127:F127"/>
    <mergeCell ref="A136:G136"/>
    <mergeCell ref="B138:B139"/>
    <mergeCell ref="C138:C139"/>
    <mergeCell ref="A129:G129"/>
    <mergeCell ref="D138:D139"/>
    <mergeCell ref="E138:E139"/>
    <mergeCell ref="A113:C113"/>
    <mergeCell ref="A96:C96"/>
    <mergeCell ref="A100:C100"/>
    <mergeCell ref="A104:F104"/>
    <mergeCell ref="A105:D105"/>
    <mergeCell ref="A106:F106"/>
    <mergeCell ref="A108:G108"/>
    <mergeCell ref="A109:G109"/>
    <mergeCell ref="B111:B112"/>
    <mergeCell ref="C111:C112"/>
    <mergeCell ref="D111:D112"/>
    <mergeCell ref="E111:E112"/>
    <mergeCell ref="A92:C92"/>
    <mergeCell ref="A62:C62"/>
    <mergeCell ref="A79:D79"/>
    <mergeCell ref="A80:D80"/>
    <mergeCell ref="A81:D81"/>
    <mergeCell ref="A86:G86"/>
    <mergeCell ref="A87:G87"/>
    <mergeCell ref="A88:G88"/>
    <mergeCell ref="B90:B91"/>
    <mergeCell ref="C90:C91"/>
    <mergeCell ref="D90:D91"/>
    <mergeCell ref="E90:E91"/>
    <mergeCell ref="K18:O18"/>
    <mergeCell ref="A19:C19"/>
    <mergeCell ref="A35:C35"/>
    <mergeCell ref="A47:C47"/>
    <mergeCell ref="A55:D55"/>
    <mergeCell ref="A57:D57"/>
    <mergeCell ref="A13:G13"/>
    <mergeCell ref="B14:B15"/>
    <mergeCell ref="C14:C15"/>
    <mergeCell ref="D14:D15"/>
    <mergeCell ref="E14:E15"/>
    <mergeCell ref="A16:C16"/>
    <mergeCell ref="A7:C7"/>
    <mergeCell ref="A1:C1"/>
    <mergeCell ref="A2:C2"/>
    <mergeCell ref="A3:C3"/>
    <mergeCell ref="A5:G5"/>
    <mergeCell ref="A6:G6"/>
  </mergeCells>
  <hyperlinks>
    <hyperlink ref="B158" r:id="rId1" xr:uid="{E2117E06-BEF5-4426-A06B-D5B3E486CCC6}"/>
    <hyperlink ref="A150" r:id="rId2" xr:uid="{CD1CD95E-B1CD-41AB-A80B-50F55DF298C4}"/>
  </hyperlinks>
  <pageMargins left="0.70866141732283505" right="0.23622047244094499" top="1.5" bottom="1.19" header="0.25" footer="0.15748031496063"/>
  <pageSetup paperSize="9" scale="83" orientation="portrait" r:id="rId3"/>
  <headerFooter scaleWithDoc="0" alignWithMargins="0">
    <oddHeader>&amp;L&amp;G&amp;R&amp;G</oddHeader>
    <oddFooter xml:space="preserve">&amp;L
RO33404978
J40/8589/2014
RO56INGB0000999915150915
Banca: ING BANK NV
&amp;C
Str. Învingătorilor nr. 27, Sector 3, București
Tel :  (+4) 0314.361.836
Mobil:  (+4) 0724.204.888
             (+4) 0766.367.287
&amp;REmail: 
comercial@magnumheating.ro
</oddFooter>
  </headerFooter>
  <colBreaks count="1" manualBreakCount="1">
    <brk id="7" max="1048575" man="1"/>
  </colBreaks>
  <drawing r:id="rId4"/>
  <legacyDrawing r:id="rId5"/>
  <legacyDrawingHF r:id="rId6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3F3F8D-B72D-4728-9681-8A26C2DE2097}">
  <sheetPr filterMode="1">
    <tabColor rgb="FF00B050"/>
  </sheetPr>
  <dimension ref="A1:Z188"/>
  <sheetViews>
    <sheetView zoomScaleNormal="100" zoomScaleSheetLayoutView="100" workbookViewId="0">
      <selection activeCell="L130" sqref="L130"/>
    </sheetView>
  </sheetViews>
  <sheetFormatPr defaultRowHeight="14.4"/>
  <cols>
    <col min="1" max="1" width="5.6640625" customWidth="1"/>
    <col min="2" max="2" width="13.21875" customWidth="1"/>
    <col min="3" max="3" width="56.6640625" customWidth="1"/>
    <col min="4" max="4" width="5.88671875" customWidth="1"/>
    <col min="5" max="5" width="6.44140625" customWidth="1"/>
    <col min="6" max="6" width="10.77734375" customWidth="1"/>
    <col min="7" max="7" width="14.21875" customWidth="1"/>
    <col min="8" max="8" width="9" style="244" customWidth="1"/>
    <col min="9" max="9" width="8.77734375" customWidth="1"/>
    <col min="10" max="10" width="14" customWidth="1"/>
    <col min="15" max="15" width="10.5546875" customWidth="1"/>
    <col min="16" max="16" width="13.5546875" customWidth="1"/>
    <col min="17" max="17" width="16.21875" customWidth="1"/>
    <col min="18" max="18" width="8.5546875" customWidth="1"/>
    <col min="20" max="20" width="7.21875" customWidth="1"/>
    <col min="21" max="21" width="11.44140625" customWidth="1"/>
    <col min="22" max="22" width="13.5546875" customWidth="1"/>
    <col min="23" max="23" width="15.5546875" customWidth="1"/>
    <col min="24" max="24" width="14.21875" customWidth="1"/>
    <col min="25" max="25" width="14.77734375" customWidth="1"/>
  </cols>
  <sheetData>
    <row r="1" spans="1:17">
      <c r="A1" s="529" t="s">
        <v>597</v>
      </c>
      <c r="B1" s="530"/>
      <c r="C1" s="530"/>
    </row>
    <row r="2" spans="1:17">
      <c r="A2" s="529" t="s">
        <v>431</v>
      </c>
      <c r="B2" s="530"/>
      <c r="C2" s="530"/>
    </row>
    <row r="3" spans="1:17">
      <c r="A3" s="529" t="s">
        <v>172</v>
      </c>
      <c r="B3" s="530"/>
      <c r="C3" s="530"/>
    </row>
    <row r="4" spans="1:17" ht="6" customHeight="1"/>
    <row r="5" spans="1:17" ht="13.95" customHeight="1">
      <c r="A5" s="545" t="s">
        <v>0</v>
      </c>
      <c r="B5" s="545"/>
      <c r="C5" s="545"/>
      <c r="D5" s="545"/>
      <c r="E5" s="545"/>
      <c r="F5" s="545"/>
      <c r="G5" s="545"/>
      <c r="H5" s="246"/>
      <c r="I5" s="4"/>
      <c r="J5" s="5"/>
      <c r="K5" s="5"/>
      <c r="L5" s="5"/>
      <c r="M5" s="5"/>
      <c r="N5" s="5"/>
      <c r="O5" s="5"/>
      <c r="P5" s="5"/>
      <c r="Q5" s="5"/>
    </row>
    <row r="6" spans="1:17" ht="18" customHeight="1" thickBot="1">
      <c r="A6" s="524" t="s">
        <v>215</v>
      </c>
      <c r="B6" s="524"/>
      <c r="C6" s="524"/>
      <c r="D6" s="524"/>
      <c r="E6" s="524"/>
      <c r="F6" s="524"/>
      <c r="G6" s="524"/>
      <c r="H6" s="246"/>
      <c r="I6" s="4"/>
      <c r="J6" s="5"/>
      <c r="K6" s="5"/>
      <c r="L6" s="5"/>
      <c r="M6" s="5"/>
      <c r="N6" s="5"/>
      <c r="O6" s="5"/>
      <c r="P6" s="5"/>
      <c r="Q6" s="5"/>
    </row>
    <row r="7" spans="1:17" ht="18" customHeight="1" thickTop="1" thickBot="1">
      <c r="A7" s="524" t="s">
        <v>528</v>
      </c>
      <c r="B7" s="528"/>
      <c r="C7" s="528"/>
      <c r="D7" s="371">
        <f>'CalculSpeeTile10+SpeeTherm15-30'!B20+'CalculSpeeTile10+SpeeTherm15-30'!G20+'CalculSpeeTile10+SpeeTherm15-30'!M20+'CalculSpeeTile10+SpeeTherm15-30'!R20+'CalculSpeeTile10+SpeeTherm15-30'!X20+'CalculSpeeTile10+SpeeTherm15-30'!AC20</f>
        <v>0</v>
      </c>
      <c r="E7" s="372" t="s">
        <v>92</v>
      </c>
      <c r="F7" s="4"/>
      <c r="G7" s="4"/>
      <c r="H7" s="246"/>
      <c r="I7" s="4"/>
      <c r="J7" s="5"/>
      <c r="K7" s="5"/>
      <c r="L7" s="5"/>
      <c r="M7" s="5"/>
      <c r="N7" s="5"/>
      <c r="O7" s="5"/>
      <c r="P7" s="5"/>
      <c r="Q7" s="5"/>
    </row>
    <row r="8" spans="1:17" ht="18" customHeight="1" thickTop="1">
      <c r="A8" s="4"/>
      <c r="B8" s="4"/>
      <c r="C8" s="4"/>
      <c r="D8" s="4"/>
      <c r="E8" s="4"/>
      <c r="F8" s="4"/>
      <c r="G8" s="4"/>
      <c r="H8" s="246"/>
      <c r="I8" s="4"/>
      <c r="J8" s="5"/>
      <c r="K8" s="5"/>
      <c r="L8" s="5"/>
      <c r="M8" s="5"/>
      <c r="N8" s="5"/>
      <c r="O8" s="5"/>
      <c r="P8" s="5"/>
      <c r="Q8" s="5"/>
    </row>
    <row r="9" spans="1:17" ht="25.95" customHeight="1">
      <c r="A9" s="4"/>
      <c r="B9" s="4"/>
      <c r="C9" s="4"/>
      <c r="D9" s="4"/>
      <c r="E9" s="4"/>
      <c r="F9" s="4"/>
      <c r="G9" s="4"/>
      <c r="H9" s="246"/>
      <c r="I9" s="4"/>
      <c r="J9" s="5"/>
      <c r="K9" s="5"/>
      <c r="L9" s="5"/>
      <c r="M9" s="5"/>
      <c r="N9" s="5"/>
      <c r="O9" s="5"/>
      <c r="P9" s="5"/>
      <c r="Q9" s="5"/>
    </row>
    <row r="10" spans="1:17">
      <c r="A10" s="4"/>
      <c r="B10" s="4"/>
      <c r="C10" s="4"/>
      <c r="D10" s="4"/>
      <c r="E10" s="4"/>
      <c r="F10" s="4"/>
      <c r="G10" s="4"/>
      <c r="H10" s="246"/>
      <c r="I10" s="4"/>
      <c r="J10" s="5"/>
      <c r="K10" s="5"/>
      <c r="L10" s="5"/>
      <c r="M10" s="5"/>
      <c r="N10" s="5"/>
      <c r="O10" s="5"/>
      <c r="P10" s="5"/>
      <c r="Q10" s="5"/>
    </row>
    <row r="11" spans="1:17" ht="32.25" customHeight="1">
      <c r="A11" s="4"/>
      <c r="B11" s="4"/>
      <c r="C11" s="4"/>
      <c r="D11" s="4"/>
      <c r="E11" s="4"/>
      <c r="F11" s="4"/>
      <c r="G11" s="4"/>
      <c r="H11" s="246"/>
      <c r="I11" s="4"/>
      <c r="J11" s="5"/>
      <c r="K11" s="5"/>
      <c r="L11" s="5"/>
      <c r="M11" s="5"/>
      <c r="N11" s="5"/>
      <c r="O11" s="5"/>
      <c r="P11" s="5"/>
      <c r="Q11" s="5"/>
    </row>
    <row r="12" spans="1:17" ht="28.05" customHeight="1">
      <c r="A12" s="4"/>
      <c r="B12" s="4"/>
      <c r="C12" s="4"/>
      <c r="D12" s="4"/>
      <c r="E12" s="4"/>
      <c r="F12" s="4"/>
      <c r="G12" s="4"/>
      <c r="H12" s="246"/>
      <c r="I12" s="4"/>
      <c r="J12" s="5"/>
      <c r="K12" s="5"/>
      <c r="L12" s="5"/>
      <c r="M12" s="5"/>
      <c r="N12" s="5"/>
      <c r="O12" s="5"/>
      <c r="P12" s="5"/>
      <c r="Q12" s="5"/>
    </row>
    <row r="13" spans="1:17" ht="24.45" customHeight="1" thickBot="1">
      <c r="A13" s="520" t="s">
        <v>140</v>
      </c>
      <c r="B13" s="521"/>
      <c r="C13" s="521"/>
      <c r="D13" s="521"/>
      <c r="E13" s="521"/>
      <c r="F13" s="521"/>
      <c r="G13" s="521"/>
      <c r="H13" s="247"/>
      <c r="I13" s="5"/>
      <c r="J13" s="5"/>
      <c r="K13" s="5"/>
      <c r="L13" s="5"/>
      <c r="M13" s="5"/>
      <c r="N13" s="5"/>
      <c r="O13" s="5"/>
      <c r="P13" s="5"/>
      <c r="Q13" s="5"/>
    </row>
    <row r="14" spans="1:17" ht="16.95" customHeight="1" thickTop="1">
      <c r="A14" s="6" t="s">
        <v>433</v>
      </c>
      <c r="B14" s="518" t="s">
        <v>3</v>
      </c>
      <c r="C14" s="518" t="s">
        <v>4</v>
      </c>
      <c r="D14" s="518" t="s">
        <v>5</v>
      </c>
      <c r="E14" s="518" t="s">
        <v>6</v>
      </c>
      <c r="F14" s="7" t="s">
        <v>7</v>
      </c>
      <c r="G14" s="8" t="s">
        <v>9</v>
      </c>
      <c r="H14" s="247"/>
      <c r="I14" s="5"/>
      <c r="J14" s="5"/>
      <c r="K14" s="5"/>
      <c r="L14" s="5"/>
      <c r="M14" s="5"/>
      <c r="N14" s="5"/>
      <c r="O14" s="5"/>
      <c r="P14" s="5"/>
      <c r="Q14" s="5"/>
    </row>
    <row r="15" spans="1:17" ht="26.25" customHeight="1" thickBot="1">
      <c r="A15" s="17" t="s">
        <v>2</v>
      </c>
      <c r="B15" s="527"/>
      <c r="C15" s="527"/>
      <c r="D15" s="527"/>
      <c r="E15" s="527"/>
      <c r="F15" s="18" t="s">
        <v>8</v>
      </c>
      <c r="G15" s="19" t="s">
        <v>8</v>
      </c>
      <c r="H15" s="247"/>
      <c r="I15" s="5"/>
      <c r="J15" s="5"/>
      <c r="K15" s="5"/>
      <c r="L15" s="5"/>
      <c r="M15" s="5"/>
      <c r="N15" s="5"/>
      <c r="O15" s="5"/>
      <c r="P15" s="5"/>
      <c r="Q15" s="5"/>
    </row>
    <row r="16" spans="1:17" ht="16.95" customHeight="1" thickTop="1" thickBot="1">
      <c r="A16" s="587" t="s">
        <v>591</v>
      </c>
      <c r="B16" s="588"/>
      <c r="C16" s="588"/>
      <c r="D16" s="373"/>
      <c r="E16" s="374"/>
      <c r="F16" s="375"/>
      <c r="G16" s="376"/>
      <c r="H16" s="248">
        <f>SUM(H17:H18)</f>
        <v>0</v>
      </c>
      <c r="I16" s="341"/>
      <c r="J16" s="5"/>
      <c r="K16" s="5"/>
      <c r="L16" s="5"/>
      <c r="M16" s="5"/>
      <c r="N16" s="5"/>
      <c r="O16" s="5"/>
      <c r="P16" s="5"/>
      <c r="Q16" s="5"/>
    </row>
    <row r="17" spans="1:17" ht="18" customHeight="1" thickTop="1" thickBot="1">
      <c r="A17" s="27"/>
      <c r="B17" s="20" t="s">
        <v>61</v>
      </c>
      <c r="C17" s="13" t="s">
        <v>63</v>
      </c>
      <c r="D17" s="327" t="s">
        <v>11</v>
      </c>
      <c r="E17" s="327">
        <f>INT('CalculSpeeTile10+SpeeTherm15-30'!C24-E18*240)/80</f>
        <v>0</v>
      </c>
      <c r="F17" s="512">
        <v>39</v>
      </c>
      <c r="G17" s="329">
        <f>E17*F17</f>
        <v>0</v>
      </c>
      <c r="H17" s="330">
        <f>E17</f>
        <v>0</v>
      </c>
      <c r="I17" s="353"/>
      <c r="J17" s="5"/>
      <c r="K17" s="5"/>
      <c r="L17" s="5"/>
      <c r="M17" s="5"/>
      <c r="N17" s="5"/>
      <c r="O17" s="5"/>
      <c r="P17" s="5"/>
      <c r="Q17" s="5"/>
    </row>
    <row r="18" spans="1:17" ht="16.95" customHeight="1" thickBot="1">
      <c r="A18" s="27"/>
      <c r="B18" s="20" t="s">
        <v>62</v>
      </c>
      <c r="C18" s="13" t="s">
        <v>75</v>
      </c>
      <c r="D18" s="327" t="s">
        <v>11</v>
      </c>
      <c r="E18" s="347">
        <f>INT('CalculSpeeTile10+SpeeTherm15-30'!C24/240)</f>
        <v>0</v>
      </c>
      <c r="F18" s="512">
        <v>116</v>
      </c>
      <c r="G18" s="350">
        <f t="shared" ref="G18" si="0">E18*F18</f>
        <v>0</v>
      </c>
      <c r="H18" s="330">
        <f t="shared" ref="H18" si="1">E18</f>
        <v>0</v>
      </c>
      <c r="I18" s="353"/>
      <c r="J18" s="46"/>
      <c r="K18" s="536"/>
      <c r="L18" s="536"/>
      <c r="M18" s="536"/>
      <c r="N18" s="536"/>
      <c r="O18" s="536"/>
      <c r="P18" s="5"/>
      <c r="Q18" s="5"/>
    </row>
    <row r="19" spans="1:17" ht="16.95" customHeight="1" thickTop="1" thickBot="1">
      <c r="A19" s="597" t="s">
        <v>440</v>
      </c>
      <c r="B19" s="598"/>
      <c r="C19" s="598"/>
      <c r="D19" s="447"/>
      <c r="E19" s="447"/>
      <c r="F19" s="447"/>
      <c r="G19" s="448"/>
      <c r="H19" s="248">
        <f>SUM(H20:H34)</f>
        <v>0</v>
      </c>
      <c r="I19" s="341"/>
      <c r="J19" s="192"/>
      <c r="K19" s="46"/>
      <c r="L19" s="46"/>
      <c r="M19" s="46"/>
      <c r="N19" s="46"/>
      <c r="O19" s="46"/>
      <c r="P19" s="5"/>
      <c r="Q19" s="5"/>
    </row>
    <row r="20" spans="1:17" ht="18" hidden="1" customHeight="1" thickTop="1" thickBot="1">
      <c r="A20" s="366"/>
      <c r="B20" s="367" t="s">
        <v>35</v>
      </c>
      <c r="C20" s="368" t="s">
        <v>441</v>
      </c>
      <c r="D20" s="367" t="s">
        <v>11</v>
      </c>
      <c r="E20" s="320">
        <f>IF(AND('CalculSpeeTile10+SpeeTherm15-30'!$K$24=2, 'CalculSpeeTile10+SpeeTherm15-30'!$V$24=2, 'CalculSpeeTile10+SpeeTherm15-30'!$AG$24=2), 3,
IF(OR(AND('CalculSpeeTile10+SpeeTherm15-30'!$K$24=2, 'CalculSpeeTile10+SpeeTherm15-30'!$V$24=2),
      AND('CalculSpeeTile10+SpeeTherm15-30'!$K$24=2, 'CalculSpeeTile10+SpeeTherm15-30'!$AG$24=2),
      AND('CalculSpeeTile10+SpeeTherm15-30'!$V$24=2, 'CalculSpeeTile10+SpeeTherm15-30'!$AG$24=2)), 2,
IF(OR('CalculSpeeTile10+SpeeTherm15-30'!$K$24=2, 'CalculSpeeTile10+SpeeTherm15-30'!$V$24=2, 'CalculSpeeTile10+SpeeTherm15-30'!$AG$24=2), 1, 0)))</f>
        <v>0</v>
      </c>
      <c r="F20" s="449">
        <v>104</v>
      </c>
      <c r="G20" s="370">
        <f t="shared" ref="G20:G34" si="2">E20*F20</f>
        <v>0</v>
      </c>
      <c r="H20" s="330">
        <f t="shared" ref="H20:H34" si="3">E20</f>
        <v>0</v>
      </c>
      <c r="I20" s="331"/>
      <c r="J20" s="46"/>
      <c r="K20" s="46"/>
      <c r="L20" s="46"/>
      <c r="M20" s="46"/>
      <c r="N20" s="46"/>
      <c r="O20" s="46"/>
      <c r="P20" s="5"/>
      <c r="Q20" s="5"/>
    </row>
    <row r="21" spans="1:17" ht="18" hidden="1" customHeight="1" thickBot="1">
      <c r="A21" s="334"/>
      <c r="B21" s="260" t="s">
        <v>36</v>
      </c>
      <c r="C21" s="332" t="s">
        <v>442</v>
      </c>
      <c r="D21" s="260" t="s">
        <v>11</v>
      </c>
      <c r="E21" s="20">
        <f>IF(AND('CalculSpeeTile10+SpeeTherm15-30'!$K$24=3, 'CalculSpeeTile10+SpeeTherm15-30'!$V$24=3, 'CalculSpeeTile10+SpeeTherm15-30'!$AG$24=3), 3,
IF(OR(AND('CalculSpeeTile10+SpeeTherm15-30'!$K$24=3, 'CalculSpeeTile10+SpeeTherm15-30'!$V$24=3),
      AND('CalculSpeeTile10+SpeeTherm15-30'!$K$24=3, 'CalculSpeeTile10+SpeeTherm15-30'!$AG$24=3),
      AND('CalculSpeeTile10+SpeeTherm15-30'!$V$24=3, 'CalculSpeeTile10+SpeeTherm15-30'!$AG$24=3)), 2,
IF(OR('CalculSpeeTile10+SpeeTherm15-30'!$K$24=3, 'CalculSpeeTile10+SpeeTherm15-30'!$V$24=3, 'CalculSpeeTile10+SpeeTherm15-30'!$AG$24=3), 1, 0)))</f>
        <v>0</v>
      </c>
      <c r="F21" s="383">
        <v>120</v>
      </c>
      <c r="G21" s="335">
        <f t="shared" si="2"/>
        <v>0</v>
      </c>
      <c r="H21" s="330">
        <f t="shared" si="3"/>
        <v>0</v>
      </c>
      <c r="I21" s="331"/>
      <c r="J21" s="46"/>
      <c r="K21" s="46"/>
      <c r="L21" s="511"/>
      <c r="M21" s="46"/>
      <c r="N21" s="46"/>
      <c r="O21" s="46"/>
      <c r="P21" s="5"/>
      <c r="Q21" s="5"/>
    </row>
    <row r="22" spans="1:17" ht="18" hidden="1" customHeight="1" thickBot="1">
      <c r="A22" s="334"/>
      <c r="B22" s="260" t="s">
        <v>37</v>
      </c>
      <c r="C22" s="332" t="s">
        <v>443</v>
      </c>
      <c r="D22" s="260" t="s">
        <v>11</v>
      </c>
      <c r="E22" s="20">
        <f>IF(AND('CalculSpeeTile10+SpeeTherm15-30'!$K$24=4, 'CalculSpeeTile10+SpeeTherm15-30'!$V$24=4, 'CalculSpeeTile10+SpeeTherm15-30'!$AG$24=4), 3,
IF(OR(AND('CalculSpeeTile10+SpeeTherm15-30'!$K$24=4, 'CalculSpeeTile10+SpeeTherm15-30'!$V$24=4),
      AND('CalculSpeeTile10+SpeeTherm15-30'!$K$24=4, 'CalculSpeeTile10+SpeeTherm15-30'!$AG$24=4),
      AND('CalculSpeeTile10+SpeeTherm15-30'!$V$24=4, 'CalculSpeeTile10+SpeeTherm15-30'!$AG$24=4)), 2,
IF(OR('CalculSpeeTile10+SpeeTherm15-30'!$K$24=4, 'CalculSpeeTile10+SpeeTherm15-30'!$V$24=4, 'CalculSpeeTile10+SpeeTherm15-30'!$AG$24=4), 1, 0)))</f>
        <v>0</v>
      </c>
      <c r="F22" s="383">
        <v>136</v>
      </c>
      <c r="G22" s="335">
        <f t="shared" si="2"/>
        <v>0</v>
      </c>
      <c r="H22" s="330">
        <f t="shared" si="3"/>
        <v>0</v>
      </c>
      <c r="I22" s="331"/>
      <c r="J22" s="5"/>
      <c r="K22" s="5"/>
      <c r="L22" s="5"/>
      <c r="M22" s="5"/>
      <c r="N22" s="5"/>
      <c r="O22" s="5"/>
      <c r="P22" s="5"/>
      <c r="Q22" s="5"/>
    </row>
    <row r="23" spans="1:17" ht="18" hidden="1" customHeight="1" thickBot="1">
      <c r="A23" s="334"/>
      <c r="B23" s="260" t="s">
        <v>23</v>
      </c>
      <c r="C23" s="332" t="s">
        <v>444</v>
      </c>
      <c r="D23" s="260" t="s">
        <v>11</v>
      </c>
      <c r="E23" s="20">
        <f>IF(AND('CalculSpeeTile10+SpeeTherm15-30'!$K$24=5, 'CalculSpeeTile10+SpeeTherm15-30'!$V$24=5, 'CalculSpeeTile10+SpeeTherm15-30'!$AG$24=5), 3,
IF(OR(AND('CalculSpeeTile10+SpeeTherm15-30'!$K$24=5, 'CalculSpeeTile10+SpeeTherm15-30'!$V$24=5),
      AND('CalculSpeeTile10+SpeeTherm15-30'!$K$24=5, 'CalculSpeeTile10+SpeeTherm15-30'!$AG$24=5),
      AND('CalculSpeeTile10+SpeeTherm15-30'!$V$24=5, 'CalculSpeeTile10+SpeeTherm15-30'!$AG$24=5)), 2,
IF(OR('CalculSpeeTile10+SpeeTherm15-30'!$K$24=5, 'CalculSpeeTile10+SpeeTherm15-30'!$V$24=5, 'CalculSpeeTile10+SpeeTherm15-30'!$AG$24=5), 1, 0)))</f>
        <v>0</v>
      </c>
      <c r="F23" s="383">
        <v>151</v>
      </c>
      <c r="G23" s="335">
        <f t="shared" si="2"/>
        <v>0</v>
      </c>
      <c r="H23" s="330">
        <f t="shared" si="3"/>
        <v>0</v>
      </c>
      <c r="I23" s="331"/>
      <c r="J23" s="5"/>
      <c r="K23" s="5"/>
      <c r="L23" s="5"/>
      <c r="M23" s="5"/>
      <c r="N23" s="5"/>
      <c r="O23" s="5"/>
      <c r="P23" s="5"/>
      <c r="Q23" s="5"/>
    </row>
    <row r="24" spans="1:17" ht="18" hidden="1" customHeight="1" thickBot="1">
      <c r="A24" s="334"/>
      <c r="B24" s="260" t="s">
        <v>22</v>
      </c>
      <c r="C24" s="332" t="s">
        <v>445</v>
      </c>
      <c r="D24" s="260" t="s">
        <v>11</v>
      </c>
      <c r="E24" s="20">
        <f>IF(AND('CalculSpeeTile10+SpeeTherm15-30'!$K$24=6, 'CalculSpeeTile10+SpeeTherm15-30'!$V$24=6, 'CalculSpeeTile10+SpeeTherm15-30'!$AG$24=6), 3,
IF(OR(AND('CalculSpeeTile10+SpeeTherm15-30'!$K$24=6, 'CalculSpeeTile10+SpeeTherm15-30'!$V$24=6),
      AND('CalculSpeeTile10+SpeeTherm15-30'!$K$24=6, 'CalculSpeeTile10+SpeeTherm15-30'!$AG$24=6),
      AND('CalculSpeeTile10+SpeeTherm15-30'!$V$24=6, 'CalculSpeeTile10+SpeeTherm15-30'!$AG$24=6)), 2,
IF(OR('CalculSpeeTile10+SpeeTherm15-30'!$K$24=6, 'CalculSpeeTile10+SpeeTherm15-30'!$V$24=6, 'CalculSpeeTile10+SpeeTherm15-30'!$AG$24=6), 1, 0)))</f>
        <v>0</v>
      </c>
      <c r="F24" s="383">
        <v>168</v>
      </c>
      <c r="G24" s="335">
        <f t="shared" si="2"/>
        <v>0</v>
      </c>
      <c r="H24" s="330">
        <f t="shared" si="3"/>
        <v>0</v>
      </c>
      <c r="I24" s="331"/>
      <c r="J24" s="5"/>
      <c r="K24" s="5"/>
      <c r="L24" s="5"/>
      <c r="M24" s="5"/>
      <c r="N24" s="5"/>
      <c r="O24" s="5"/>
      <c r="P24" s="5"/>
      <c r="Q24" s="5"/>
    </row>
    <row r="25" spans="1:17" ht="16.95" hidden="1" customHeight="1" thickBot="1">
      <c r="A25" s="334"/>
      <c r="B25" s="260" t="s">
        <v>21</v>
      </c>
      <c r="C25" s="332" t="s">
        <v>446</v>
      </c>
      <c r="D25" s="260" t="s">
        <v>11</v>
      </c>
      <c r="E25" s="20">
        <f>IF(AND('CalculSpeeTile10+SpeeTherm15-30'!$K$24=7, 'CalculSpeeTile10+SpeeTherm15-30'!$V$24=7, 'CalculSpeeTile10+SpeeTherm15-30'!$AG$24=7), 3,
IF(OR(AND('CalculSpeeTile10+SpeeTherm15-30'!$K$24=7, 'CalculSpeeTile10+SpeeTherm15-30'!$V$24=7),
      AND('CalculSpeeTile10+SpeeTherm15-30'!$K$24=7, 'CalculSpeeTile10+SpeeTherm15-30'!$AG$24=7),
      AND('CalculSpeeTile10+SpeeTherm15-30'!$V$24=7, 'CalculSpeeTile10+SpeeTherm15-30'!$AG$24=7)), 2,
IF(OR('CalculSpeeTile10+SpeeTherm15-30'!$K$24=7, 'CalculSpeeTile10+SpeeTherm15-30'!$V$24=7, 'CalculSpeeTile10+SpeeTherm15-30'!$AG$24=7), 1, 0)))</f>
        <v>0</v>
      </c>
      <c r="F25" s="383">
        <v>184</v>
      </c>
      <c r="G25" s="335">
        <f t="shared" si="2"/>
        <v>0</v>
      </c>
      <c r="H25" s="330">
        <f t="shared" si="3"/>
        <v>0</v>
      </c>
      <c r="I25" s="331"/>
      <c r="J25" s="5"/>
      <c r="K25" s="5"/>
      <c r="L25" s="5"/>
      <c r="M25" s="5" t="s">
        <v>85</v>
      </c>
      <c r="N25" s="5"/>
      <c r="O25" s="5"/>
      <c r="P25" s="5"/>
      <c r="Q25" s="5"/>
    </row>
    <row r="26" spans="1:17" ht="18" hidden="1" customHeight="1" thickBot="1">
      <c r="A26" s="334"/>
      <c r="B26" s="260" t="s">
        <v>38</v>
      </c>
      <c r="C26" s="332" t="s">
        <v>447</v>
      </c>
      <c r="D26" s="260" t="s">
        <v>11</v>
      </c>
      <c r="E26" s="20">
        <f>IF(AND('CalculSpeeTile10+SpeeTherm15-30'!$K$24=8, 'CalculSpeeTile10+SpeeTherm15-30'!$V$24=8, 'CalculSpeeTile10+SpeeTherm15-30'!$AG$24=8), 3,
IF(OR(AND('CalculSpeeTile10+SpeeTherm15-30'!$K$24=8, 'CalculSpeeTile10+SpeeTherm15-30'!$V$24=8),
      AND('CalculSpeeTile10+SpeeTherm15-30'!$K$24=8, 'CalculSpeeTile10+SpeeTherm15-30'!$AG$24=8),
      AND('CalculSpeeTile10+SpeeTherm15-30'!$V$24=8, 'CalculSpeeTile10+SpeeTherm15-30'!$AG$24=8)), 2,
IF(OR('CalculSpeeTile10+SpeeTherm15-30'!$K$24=8, 'CalculSpeeTile10+SpeeTherm15-30'!$V$24=8, 'CalculSpeeTile10+SpeeTherm15-30'!$AG$24=8), 1, 0)))</f>
        <v>0</v>
      </c>
      <c r="F26" s="383">
        <v>200</v>
      </c>
      <c r="G26" s="335">
        <f t="shared" si="2"/>
        <v>0</v>
      </c>
      <c r="H26" s="330">
        <f t="shared" si="3"/>
        <v>0</v>
      </c>
      <c r="I26" s="331"/>
      <c r="J26" s="5"/>
      <c r="K26" s="5"/>
      <c r="L26" s="5"/>
      <c r="M26" s="5"/>
      <c r="N26" s="5"/>
      <c r="O26" s="5"/>
      <c r="P26" s="5"/>
      <c r="Q26" s="5"/>
    </row>
    <row r="27" spans="1:17" ht="16.95" customHeight="1" thickBot="1">
      <c r="A27" s="334"/>
      <c r="B27" s="260" t="s">
        <v>39</v>
      </c>
      <c r="C27" s="332" t="s">
        <v>448</v>
      </c>
      <c r="D27" s="260" t="s">
        <v>11</v>
      </c>
      <c r="E27" s="20">
        <f>IF(AND('CalculSpeeTile10+SpeeTherm15-30'!$K$24=9, 'CalculSpeeTile10+SpeeTherm15-30'!$V$24=9, 'CalculSpeeTile10+SpeeTherm15-30'!$AG$24=9), 3,
IF(OR(AND('CalculSpeeTile10+SpeeTherm15-30'!$K$24=9, 'CalculSpeeTile10+SpeeTherm15-30'!$V$24=9),
      AND('CalculSpeeTile10+SpeeTherm15-30'!$K$24=9, 'CalculSpeeTile10+SpeeTherm15-30'!$AG$24=9),
      AND('CalculSpeeTile10+SpeeTherm15-30'!$V$24=9, 'CalculSpeeTile10+SpeeTherm15-30'!$AG$24=9)), 2,
IF(OR('CalculSpeeTile10+SpeeTherm15-30'!$K$24=9, 'CalculSpeeTile10+SpeeTherm15-30'!$V$24=9, 'CalculSpeeTile10+SpeeTherm15-30'!$AG$24=9), 1, 0)))</f>
        <v>0</v>
      </c>
      <c r="F27" s="383">
        <v>215</v>
      </c>
      <c r="G27" s="335">
        <f t="shared" si="2"/>
        <v>0</v>
      </c>
      <c r="H27" s="330">
        <f t="shared" si="3"/>
        <v>0</v>
      </c>
      <c r="I27" s="331"/>
      <c r="J27" s="5"/>
      <c r="K27" s="5"/>
      <c r="L27" s="5"/>
      <c r="M27" s="5"/>
      <c r="N27" s="5"/>
      <c r="O27" s="5"/>
      <c r="P27" s="5"/>
      <c r="Q27" s="5"/>
    </row>
    <row r="28" spans="1:17" ht="18" hidden="1" customHeight="1" thickBot="1">
      <c r="A28" s="334"/>
      <c r="B28" s="260" t="s">
        <v>40</v>
      </c>
      <c r="C28" s="332" t="s">
        <v>449</v>
      </c>
      <c r="D28" s="260" t="s">
        <v>11</v>
      </c>
      <c r="E28" s="20">
        <f>IF(AND('CalculSpeeTile10+SpeeTherm15-30'!$K$24=10, 'CalculSpeeTile10+SpeeTherm15-30'!$V$24=10, 'CalculSpeeTile10+SpeeTherm15-30'!$AG$24=10), 3,
IF(OR(AND('CalculSpeeTile10+SpeeTherm15-30'!$K$24=10, 'CalculSpeeTile10+SpeeTherm15-30'!$V$24=10),
      AND('CalculSpeeTile10+SpeeTherm15-30'!$K$24=10, 'CalculSpeeTile10+SpeeTherm15-30'!$AG$24=10),
      AND('CalculSpeeTile10+SpeeTherm15-30'!$V$24=10, 'CalculSpeeTile10+SpeeTherm15-30'!$AG$24=10)), 2,
IF(OR('CalculSpeeTile10+SpeeTherm15-30'!$K$24=10, 'CalculSpeeTile10+SpeeTherm15-30'!$V$24=10, 'CalculSpeeTile10+SpeeTherm15-30'!$AG$24=10), 1, 0)))</f>
        <v>0</v>
      </c>
      <c r="F28" s="383">
        <v>233</v>
      </c>
      <c r="G28" s="335">
        <f t="shared" si="2"/>
        <v>0</v>
      </c>
      <c r="H28" s="330">
        <f t="shared" si="3"/>
        <v>0</v>
      </c>
      <c r="I28" s="331"/>
      <c r="J28" s="5"/>
      <c r="K28" s="5"/>
      <c r="L28" s="5"/>
      <c r="M28" s="5"/>
      <c r="N28" s="5"/>
      <c r="O28" s="5"/>
      <c r="P28" s="5"/>
      <c r="Q28" s="5"/>
    </row>
    <row r="29" spans="1:17" ht="18" hidden="1" customHeight="1" thickBot="1">
      <c r="A29" s="334"/>
      <c r="B29" s="260" t="s">
        <v>41</v>
      </c>
      <c r="C29" s="332" t="s">
        <v>450</v>
      </c>
      <c r="D29" s="260" t="s">
        <v>11</v>
      </c>
      <c r="E29" s="20">
        <f>IF(AND('CalculSpeeTile10+SpeeTherm15-30'!$K$24=11, 'CalculSpeeTile10+SpeeTherm15-30'!$V$24=11, 'CalculSpeeTile10+SpeeTherm15-30'!$AG$24=11), 3,
IF(OR(AND('CalculSpeeTile10+SpeeTherm15-30'!$K$24=11, 'CalculSpeeTile10+SpeeTherm15-30'!$V$24=11),
      AND('CalculSpeeTile10+SpeeTherm15-30'!$K$24=11, 'CalculSpeeTile10+SpeeTherm15-30'!$AG$24=11),
      AND('CalculSpeeTile10+SpeeTherm15-30'!$V$24=11, 'CalculSpeeTile10+SpeeTherm15-30'!$AG$24=11)), 2,
IF(OR('CalculSpeeTile10+SpeeTherm15-30'!$K$24=11, 'CalculSpeeTile10+SpeeTherm15-30'!$V$24=11, 'CalculSpeeTile10+SpeeTherm15-30'!$AG$24=11), 1, 0)))</f>
        <v>0</v>
      </c>
      <c r="F29" s="383">
        <v>247</v>
      </c>
      <c r="G29" s="335">
        <f t="shared" si="2"/>
        <v>0</v>
      </c>
      <c r="H29" s="330">
        <f t="shared" si="3"/>
        <v>0</v>
      </c>
      <c r="I29" s="331"/>
      <c r="J29" s="5"/>
      <c r="K29" s="5"/>
      <c r="L29" s="5"/>
      <c r="M29" s="5"/>
      <c r="N29" s="5"/>
      <c r="O29" s="5"/>
      <c r="P29" s="5"/>
      <c r="Q29" s="5"/>
    </row>
    <row r="30" spans="1:17" ht="18" hidden="1" customHeight="1" thickBot="1">
      <c r="A30" s="334"/>
      <c r="B30" s="260" t="s">
        <v>42</v>
      </c>
      <c r="C30" s="332" t="s">
        <v>451</v>
      </c>
      <c r="D30" s="260" t="s">
        <v>11</v>
      </c>
      <c r="E30" s="20">
        <f>IF(AND('CalculSpeeTile10+SpeeTherm15-30'!$K$24=12, 'CalculSpeeTile10+SpeeTherm15-30'!$V$24=12, 'CalculSpeeTile10+SpeeTherm15-30'!$AG$24=12), 3,
IF(OR(AND('CalculSpeeTile10+SpeeTherm15-30'!$K$24=12, 'CalculSpeeTile10+SpeeTherm15-30'!$V$24=12),
      AND('CalculSpeeTile10+SpeeTherm15-30'!$K$24=12, 'CalculSpeeTile10+SpeeTherm15-30'!$AG$24=12),
      AND('CalculSpeeTile10+SpeeTherm15-30'!$V$24=12, 'CalculSpeeTile10+SpeeTherm15-30'!$AG$24=12)), 2,
IF(OR('CalculSpeeTile10+SpeeTherm15-30'!$K$24=12, 'CalculSpeeTile10+SpeeTherm15-30'!$V$24=12, 'CalculSpeeTile10+SpeeTherm15-30'!$AG$24=12), 1, 0)))</f>
        <v>0</v>
      </c>
      <c r="F30" s="383">
        <v>265</v>
      </c>
      <c r="G30" s="335">
        <f t="shared" si="2"/>
        <v>0</v>
      </c>
      <c r="H30" s="330">
        <f t="shared" si="3"/>
        <v>0</v>
      </c>
      <c r="I30" s="331"/>
      <c r="J30" s="5"/>
      <c r="K30" s="5"/>
      <c r="L30" s="5"/>
      <c r="M30" s="5"/>
      <c r="N30" s="5"/>
      <c r="O30" s="5"/>
      <c r="P30" s="5"/>
      <c r="Q30" s="5"/>
    </row>
    <row r="31" spans="1:17" ht="18" hidden="1" customHeight="1" thickBot="1">
      <c r="A31" s="334"/>
      <c r="B31" s="260" t="s">
        <v>43</v>
      </c>
      <c r="C31" s="332" t="s">
        <v>452</v>
      </c>
      <c r="D31" s="260" t="s">
        <v>11</v>
      </c>
      <c r="E31" s="20">
        <f>IF(AND('CalculSpeeTile10+SpeeTherm15-30'!$K$24=13, 'CalculSpeeTile10+SpeeTherm15-30'!$V$24=13, 'CalculSpeeTile10+SpeeTherm15-30'!$AG$24=13), 3,
IF(OR(AND('CalculSpeeTile10+SpeeTherm15-30'!$K$24=13, 'CalculSpeeTile10+SpeeTherm15-30'!$V$24=13),
      AND('CalculSpeeTile10+SpeeTherm15-30'!$K$24=13, 'CalculSpeeTile10+SpeeTherm15-30'!$AG$24=13),
      AND('CalculSpeeTile10+SpeeTherm15-30'!$V$24=13, 'CalculSpeeTile10+SpeeTherm15-30'!$AG$24=13)), 2,
IF(OR('CalculSpeeTile10+SpeeTherm15-30'!$K$24=13, 'CalculSpeeTile10+SpeeTherm15-30'!$V$24=13, 'CalculSpeeTile10+SpeeTherm15-30'!$AG$24=13), 1, 0)))</f>
        <v>0</v>
      </c>
      <c r="F31" s="383">
        <v>283</v>
      </c>
      <c r="G31" s="335">
        <f t="shared" si="2"/>
        <v>0</v>
      </c>
      <c r="H31" s="330">
        <f t="shared" si="3"/>
        <v>0</v>
      </c>
      <c r="I31" s="331"/>
      <c r="J31" s="5"/>
      <c r="K31" s="5"/>
      <c r="L31" s="5"/>
      <c r="M31" s="5"/>
      <c r="N31" s="5"/>
      <c r="O31" s="5"/>
      <c r="P31" s="5"/>
      <c r="Q31" s="5"/>
    </row>
    <row r="32" spans="1:17" ht="18" hidden="1" customHeight="1" thickBot="1">
      <c r="A32" s="334"/>
      <c r="B32" s="260" t="s">
        <v>44</v>
      </c>
      <c r="C32" s="332" t="s">
        <v>453</v>
      </c>
      <c r="D32" s="260" t="s">
        <v>11</v>
      </c>
      <c r="E32" s="20">
        <f>IF(AND('CalculSpeeTile10+SpeeTherm15-30'!$K$24=14, 'CalculSpeeTile10+SpeeTherm15-30'!$V$24=14, 'CalculSpeeTile10+SpeeTherm15-30'!$AG$24=14), 3,
IF(OR(AND('CalculSpeeTile10+SpeeTherm15-30'!$K$24=14, 'CalculSpeeTile10+SpeeTherm15-30'!$V$24=14),
      AND('CalculSpeeTile10+SpeeTherm15-30'!$K$24=14, 'CalculSpeeTile10+SpeeTherm15-30'!$AG$24=14),
      AND('CalculSpeeTile10+SpeeTherm15-30'!$V$24=14, 'CalculSpeeTile10+SpeeTherm15-30'!$AG$24=14)), 2,
IF(OR('CalculSpeeTile10+SpeeTherm15-30'!$K$24=14, 'CalculSpeeTile10+SpeeTherm15-30'!$V$24=14, 'CalculSpeeTile10+SpeeTherm15-30'!$AG$24=14), 1, 0)))</f>
        <v>0</v>
      </c>
      <c r="F32" s="383">
        <v>298</v>
      </c>
      <c r="G32" s="335">
        <f t="shared" si="2"/>
        <v>0</v>
      </c>
      <c r="H32" s="330">
        <f t="shared" si="3"/>
        <v>0</v>
      </c>
      <c r="I32" s="331"/>
      <c r="J32" s="5"/>
      <c r="K32" s="5"/>
      <c r="L32" s="5"/>
      <c r="M32" s="5"/>
      <c r="N32" s="5"/>
      <c r="O32" s="5"/>
      <c r="P32" s="5"/>
      <c r="Q32" s="5"/>
    </row>
    <row r="33" spans="1:17" ht="18" hidden="1" customHeight="1" thickBot="1">
      <c r="A33" s="334"/>
      <c r="B33" s="260" t="s">
        <v>45</v>
      </c>
      <c r="C33" s="332" t="s">
        <v>454</v>
      </c>
      <c r="D33" s="260" t="s">
        <v>11</v>
      </c>
      <c r="E33" s="20">
        <f>IF(AND('CalculSpeeTile10+SpeeTherm15-30'!$K$24=15, 'CalculSpeeTile10+SpeeTherm15-30'!$V$24=15, 'CalculSpeeTile10+SpeeTherm15-30'!$AG$24=15), 3,
IF(OR(AND('CalculSpeeTile10+SpeeTherm15-30'!$K$24=15, 'CalculSpeeTile10+SpeeTherm15-30'!$V$24=15),
      AND('CalculSpeeTile10+SpeeTherm15-30'!$K$24=15, 'CalculSpeeTile10+SpeeTherm15-30'!$AG$24=15),
      AND('CalculSpeeTile10+SpeeTherm15-30'!$V$24=15, 'CalculSpeeTile10+SpeeTherm15-30'!$AG$24=15)), 2,
IF(OR('CalculSpeeTile10+SpeeTherm15-30'!$K$24=15, 'CalculSpeeTile10+SpeeTherm15-30'!$V$24=15, 'CalculSpeeTile10+SpeeTherm15-30'!$AG$24=15), 1, 0)))</f>
        <v>0</v>
      </c>
      <c r="F33" s="383">
        <v>314</v>
      </c>
      <c r="G33" s="335">
        <f t="shared" si="2"/>
        <v>0</v>
      </c>
      <c r="H33" s="330">
        <f t="shared" si="3"/>
        <v>0</v>
      </c>
      <c r="I33" s="331"/>
      <c r="J33" s="5"/>
      <c r="K33" s="5"/>
      <c r="L33" s="5"/>
      <c r="M33" s="5"/>
      <c r="N33" s="5"/>
      <c r="O33" s="5"/>
      <c r="P33" s="5"/>
      <c r="Q33" s="5"/>
    </row>
    <row r="34" spans="1:17" ht="16.95" customHeight="1" thickBot="1">
      <c r="A34" s="416"/>
      <c r="B34" s="417" t="s">
        <v>128</v>
      </c>
      <c r="C34" s="418" t="s">
        <v>455</v>
      </c>
      <c r="D34" s="417" t="s">
        <v>11</v>
      </c>
      <c r="E34" s="450">
        <f>'CalculSpeeTile10+SpeeTherm15-30'!F24</f>
        <v>0</v>
      </c>
      <c r="F34" s="420">
        <v>342</v>
      </c>
      <c r="G34" s="421">
        <f t="shared" si="2"/>
        <v>0</v>
      </c>
      <c r="H34" s="330">
        <f t="shared" si="3"/>
        <v>0</v>
      </c>
      <c r="I34" s="331"/>
      <c r="J34" s="5"/>
      <c r="K34" s="5"/>
      <c r="L34" s="5"/>
      <c r="M34" s="5"/>
      <c r="N34" s="5"/>
      <c r="O34" s="5"/>
      <c r="P34" s="5"/>
      <c r="Q34" s="5"/>
    </row>
    <row r="35" spans="1:17" ht="18" hidden="1" customHeight="1" thickTop="1" thickBot="1">
      <c r="A35" s="599" t="s">
        <v>456</v>
      </c>
      <c r="B35" s="600"/>
      <c r="C35" s="600"/>
      <c r="D35" s="451"/>
      <c r="E35" s="451"/>
      <c r="F35" s="451"/>
      <c r="G35" s="452"/>
      <c r="H35" s="248">
        <f>SUM(H36:H46)</f>
        <v>0</v>
      </c>
      <c r="I35" s="341"/>
      <c r="J35" s="5"/>
      <c r="K35" s="46"/>
      <c r="L35" s="46"/>
      <c r="M35" s="46"/>
      <c r="N35" s="46"/>
      <c r="O35" s="46"/>
      <c r="P35" s="5"/>
      <c r="Q35" s="5"/>
    </row>
    <row r="36" spans="1:17" ht="18" hidden="1" customHeight="1" thickTop="1" thickBot="1">
      <c r="A36" s="326"/>
      <c r="B36" s="388" t="s">
        <v>457</v>
      </c>
      <c r="C36" s="389" t="s">
        <v>458</v>
      </c>
      <c r="D36" s="327" t="s">
        <v>11</v>
      </c>
      <c r="E36" s="314">
        <v>0</v>
      </c>
      <c r="F36" s="378">
        <v>158</v>
      </c>
      <c r="G36" s="329">
        <f t="shared" ref="G36:G46" si="4">E36*F36</f>
        <v>0</v>
      </c>
      <c r="H36" s="330">
        <f t="shared" ref="H36:H46" si="5">E36</f>
        <v>0</v>
      </c>
      <c r="I36" s="331"/>
      <c r="J36" s="5"/>
      <c r="K36" s="46"/>
      <c r="L36" s="46"/>
      <c r="M36" s="46"/>
      <c r="N36" s="46"/>
      <c r="O36" s="46"/>
      <c r="P36" s="5"/>
      <c r="Q36" s="5"/>
    </row>
    <row r="37" spans="1:17" ht="18" hidden="1" customHeight="1" thickBot="1">
      <c r="A37" s="334"/>
      <c r="B37" s="390" t="s">
        <v>459</v>
      </c>
      <c r="C37" s="261" t="s">
        <v>460</v>
      </c>
      <c r="D37" s="260" t="s">
        <v>11</v>
      </c>
      <c r="E37" s="314">
        <v>0</v>
      </c>
      <c r="F37" s="383">
        <v>182</v>
      </c>
      <c r="G37" s="335">
        <f t="shared" si="4"/>
        <v>0</v>
      </c>
      <c r="H37" s="330">
        <f t="shared" si="5"/>
        <v>0</v>
      </c>
      <c r="I37" s="331"/>
      <c r="J37" s="5"/>
      <c r="K37" s="46"/>
      <c r="L37" s="46"/>
      <c r="M37" s="46"/>
      <c r="N37" s="46"/>
      <c r="O37" s="46"/>
      <c r="P37" s="5"/>
      <c r="Q37" s="5"/>
    </row>
    <row r="38" spans="1:17" ht="18" hidden="1" customHeight="1" thickBot="1">
      <c r="A38" s="334"/>
      <c r="B38" s="390" t="s">
        <v>461</v>
      </c>
      <c r="C38" s="261" t="s">
        <v>462</v>
      </c>
      <c r="D38" s="260" t="s">
        <v>11</v>
      </c>
      <c r="E38" s="314">
        <v>0</v>
      </c>
      <c r="F38" s="383">
        <v>202</v>
      </c>
      <c r="G38" s="335">
        <f t="shared" si="4"/>
        <v>0</v>
      </c>
      <c r="H38" s="330">
        <f t="shared" si="5"/>
        <v>0</v>
      </c>
      <c r="I38" s="331"/>
      <c r="J38" s="5"/>
      <c r="K38" s="5"/>
      <c r="L38" s="5"/>
      <c r="M38" s="5"/>
      <c r="N38" s="5"/>
      <c r="O38" s="5"/>
      <c r="P38" s="5"/>
      <c r="Q38" s="5"/>
    </row>
    <row r="39" spans="1:17" ht="18" hidden="1" customHeight="1" thickBot="1">
      <c r="A39" s="334"/>
      <c r="B39" s="390" t="s">
        <v>463</v>
      </c>
      <c r="C39" s="261" t="s">
        <v>464</v>
      </c>
      <c r="D39" s="260" t="s">
        <v>11</v>
      </c>
      <c r="E39" s="314">
        <v>0</v>
      </c>
      <c r="F39" s="383">
        <v>228</v>
      </c>
      <c r="G39" s="335">
        <f t="shared" si="4"/>
        <v>0</v>
      </c>
      <c r="H39" s="330">
        <f t="shared" si="5"/>
        <v>0</v>
      </c>
      <c r="I39" s="331"/>
      <c r="J39" s="5"/>
      <c r="K39" s="5"/>
      <c r="L39" s="5"/>
      <c r="M39" s="5"/>
      <c r="N39" s="5"/>
      <c r="O39" s="5"/>
      <c r="P39" s="5"/>
      <c r="Q39" s="5"/>
    </row>
    <row r="40" spans="1:17" ht="18" hidden="1" customHeight="1" thickBot="1">
      <c r="A40" s="334"/>
      <c r="B40" s="390" t="s">
        <v>465</v>
      </c>
      <c r="C40" s="261" t="s">
        <v>466</v>
      </c>
      <c r="D40" s="260" t="s">
        <v>11</v>
      </c>
      <c r="E40" s="314">
        <v>0</v>
      </c>
      <c r="F40" s="383">
        <v>252</v>
      </c>
      <c r="G40" s="335">
        <f t="shared" si="4"/>
        <v>0</v>
      </c>
      <c r="H40" s="330">
        <f t="shared" si="5"/>
        <v>0</v>
      </c>
      <c r="I40" s="331"/>
      <c r="J40" s="5"/>
      <c r="K40" s="5"/>
      <c r="L40" s="5"/>
      <c r="M40" s="5"/>
      <c r="N40" s="5"/>
      <c r="O40" s="5"/>
      <c r="P40" s="5"/>
      <c r="Q40" s="5"/>
    </row>
    <row r="41" spans="1:17" ht="18" hidden="1" customHeight="1" thickBot="1">
      <c r="A41" s="334"/>
      <c r="B41" s="390" t="s">
        <v>467</v>
      </c>
      <c r="C41" s="261" t="s">
        <v>468</v>
      </c>
      <c r="D41" s="260" t="s">
        <v>11</v>
      </c>
      <c r="E41" s="314">
        <v>0</v>
      </c>
      <c r="F41" s="383">
        <v>274</v>
      </c>
      <c r="G41" s="335">
        <f t="shared" si="4"/>
        <v>0</v>
      </c>
      <c r="H41" s="330">
        <f t="shared" si="5"/>
        <v>0</v>
      </c>
      <c r="I41" s="331"/>
      <c r="J41" s="5"/>
      <c r="K41" s="5"/>
      <c r="L41" s="5"/>
      <c r="M41" s="5" t="s">
        <v>85</v>
      </c>
      <c r="N41" s="5"/>
      <c r="O41" s="5"/>
      <c r="P41" s="5"/>
      <c r="Q41" s="5"/>
    </row>
    <row r="42" spans="1:17" ht="18" hidden="1" customHeight="1" thickBot="1">
      <c r="A42" s="334"/>
      <c r="B42" s="390" t="s">
        <v>469</v>
      </c>
      <c r="C42" s="261" t="s">
        <v>470</v>
      </c>
      <c r="D42" s="260" t="s">
        <v>11</v>
      </c>
      <c r="E42" s="314">
        <v>0</v>
      </c>
      <c r="F42" s="383">
        <v>294</v>
      </c>
      <c r="G42" s="335">
        <f t="shared" si="4"/>
        <v>0</v>
      </c>
      <c r="H42" s="330">
        <f t="shared" si="5"/>
        <v>0</v>
      </c>
      <c r="I42" s="331"/>
      <c r="J42" s="5"/>
      <c r="K42" s="5"/>
      <c r="L42" s="5"/>
      <c r="M42" s="5"/>
      <c r="N42" s="5"/>
      <c r="O42" s="5"/>
      <c r="P42" s="5"/>
      <c r="Q42" s="5"/>
    </row>
    <row r="43" spans="1:17" ht="18" hidden="1" customHeight="1" thickBot="1">
      <c r="A43" s="334"/>
      <c r="B43" s="390" t="s">
        <v>471</v>
      </c>
      <c r="C43" s="261" t="s">
        <v>472</v>
      </c>
      <c r="D43" s="260" t="s">
        <v>11</v>
      </c>
      <c r="E43" s="314">
        <v>0</v>
      </c>
      <c r="F43" s="383">
        <v>318</v>
      </c>
      <c r="G43" s="335">
        <f t="shared" si="4"/>
        <v>0</v>
      </c>
      <c r="H43" s="330">
        <f t="shared" si="5"/>
        <v>0</v>
      </c>
      <c r="I43" s="331"/>
      <c r="J43" s="5"/>
      <c r="K43" s="5"/>
      <c r="L43" s="5"/>
      <c r="M43" s="5"/>
      <c r="N43" s="5"/>
      <c r="O43" s="5"/>
      <c r="P43" s="5"/>
      <c r="Q43" s="5"/>
    </row>
    <row r="44" spans="1:17" ht="18" hidden="1" customHeight="1" thickBot="1">
      <c r="A44" s="334"/>
      <c r="B44" s="390" t="s">
        <v>473</v>
      </c>
      <c r="C44" s="261" t="s">
        <v>474</v>
      </c>
      <c r="D44" s="260" t="s">
        <v>11</v>
      </c>
      <c r="E44" s="314">
        <v>0</v>
      </c>
      <c r="F44" s="383">
        <v>342</v>
      </c>
      <c r="G44" s="335">
        <f t="shared" si="4"/>
        <v>0</v>
      </c>
      <c r="H44" s="330">
        <f t="shared" si="5"/>
        <v>0</v>
      </c>
      <c r="I44" s="331"/>
      <c r="J44" s="5"/>
      <c r="K44" s="5"/>
      <c r="L44" s="5"/>
      <c r="M44" s="5"/>
      <c r="N44" s="5"/>
      <c r="O44" s="5"/>
      <c r="P44" s="5"/>
      <c r="Q44" s="5"/>
    </row>
    <row r="45" spans="1:17" ht="18" hidden="1" customHeight="1" thickBot="1">
      <c r="A45" s="334"/>
      <c r="B45" s="390" t="s">
        <v>475</v>
      </c>
      <c r="C45" s="261" t="s">
        <v>476</v>
      </c>
      <c r="D45" s="260" t="s">
        <v>11</v>
      </c>
      <c r="E45" s="314">
        <v>0</v>
      </c>
      <c r="F45" s="383">
        <v>362</v>
      </c>
      <c r="G45" s="335">
        <f t="shared" si="4"/>
        <v>0</v>
      </c>
      <c r="H45" s="330">
        <f t="shared" si="5"/>
        <v>0</v>
      </c>
      <c r="I45" s="331"/>
      <c r="J45" s="5"/>
      <c r="K45" s="5"/>
      <c r="L45" s="5"/>
      <c r="M45" s="5"/>
      <c r="N45" s="5"/>
      <c r="O45" s="5"/>
      <c r="P45" s="5"/>
      <c r="Q45" s="5"/>
    </row>
    <row r="46" spans="1:17" ht="18" hidden="1" customHeight="1" thickBot="1">
      <c r="A46" s="346"/>
      <c r="B46" s="391" t="s">
        <v>477</v>
      </c>
      <c r="C46" s="392" t="s">
        <v>478</v>
      </c>
      <c r="D46" s="347" t="s">
        <v>11</v>
      </c>
      <c r="E46" s="314">
        <v>0</v>
      </c>
      <c r="F46" s="385">
        <v>382</v>
      </c>
      <c r="G46" s="350">
        <f t="shared" si="4"/>
        <v>0</v>
      </c>
      <c r="H46" s="330">
        <f t="shared" si="5"/>
        <v>0</v>
      </c>
      <c r="I46" s="331"/>
      <c r="J46" s="5"/>
      <c r="K46" s="5"/>
      <c r="L46" s="5"/>
      <c r="M46" s="5"/>
      <c r="N46" s="5"/>
      <c r="O46" s="5"/>
      <c r="P46" s="5"/>
      <c r="Q46" s="5"/>
    </row>
    <row r="47" spans="1:17" ht="16.95" customHeight="1" thickTop="1" thickBot="1">
      <c r="A47" s="585" t="s">
        <v>479</v>
      </c>
      <c r="B47" s="591"/>
      <c r="C47" s="591"/>
      <c r="D47" s="381"/>
      <c r="E47" s="381"/>
      <c r="F47" s="381"/>
      <c r="G47" s="382"/>
      <c r="H47" s="248">
        <f>SUM(H48:H54)</f>
        <v>0</v>
      </c>
      <c r="I47" s="341"/>
      <c r="J47" s="5"/>
      <c r="K47" s="5"/>
      <c r="L47" s="5"/>
      <c r="M47" s="5"/>
      <c r="N47" s="5"/>
      <c r="O47" s="5"/>
      <c r="P47" s="5"/>
      <c r="Q47" s="5"/>
    </row>
    <row r="48" spans="1:17" ht="18" hidden="1" customHeight="1" thickTop="1" thickBot="1">
      <c r="A48" s="326"/>
      <c r="B48" s="327" t="s">
        <v>129</v>
      </c>
      <c r="C48" s="328" t="s">
        <v>420</v>
      </c>
      <c r="D48" s="327" t="s">
        <v>11</v>
      </c>
      <c r="E48" s="327"/>
      <c r="F48" s="378">
        <v>54</v>
      </c>
      <c r="G48" s="329">
        <f t="shared" ref="G48:G54" si="6">E48*F48</f>
        <v>0</v>
      </c>
      <c r="H48" s="330">
        <f t="shared" ref="H48:H54" si="7">E48</f>
        <v>0</v>
      </c>
      <c r="I48" s="331"/>
      <c r="J48" s="5"/>
      <c r="K48" s="5"/>
      <c r="L48" s="5"/>
      <c r="M48" s="5"/>
      <c r="N48" s="5"/>
      <c r="O48" s="5"/>
      <c r="P48" s="5"/>
      <c r="Q48" s="5"/>
    </row>
    <row r="49" spans="1:17" ht="18" hidden="1" customHeight="1" thickBot="1">
      <c r="A49" s="326"/>
      <c r="B49" s="327" t="s">
        <v>418</v>
      </c>
      <c r="C49" s="328" t="s">
        <v>419</v>
      </c>
      <c r="D49" s="327" t="s">
        <v>11</v>
      </c>
      <c r="E49" s="327"/>
      <c r="F49" s="378">
        <v>58</v>
      </c>
      <c r="G49" s="329">
        <f t="shared" si="6"/>
        <v>0</v>
      </c>
      <c r="H49" s="330">
        <f t="shared" si="7"/>
        <v>0</v>
      </c>
      <c r="I49" s="331"/>
      <c r="J49" s="5"/>
      <c r="K49" s="5"/>
      <c r="L49" s="5"/>
      <c r="M49" s="5"/>
      <c r="N49" s="5"/>
      <c r="O49" s="5"/>
      <c r="P49" s="5"/>
      <c r="Q49" s="5"/>
    </row>
    <row r="50" spans="1:17" ht="18" hidden="1" customHeight="1" thickBot="1">
      <c r="A50" s="334"/>
      <c r="B50" s="260" t="s">
        <v>421</v>
      </c>
      <c r="C50" s="332" t="s">
        <v>422</v>
      </c>
      <c r="D50" s="260" t="s">
        <v>11</v>
      </c>
      <c r="E50" s="333">
        <f>--OR('CalculSpeeTile10+SpeeTherm15-30'!$K$24=2,'CalculSpeeTile10+SpeeTherm15-30'!$K$24=3)
 +--OR('CalculSpeeTile10+SpeeTherm15-30'!$V$24=2,'CalculSpeeTile10+SpeeTherm15-30'!$V$24=3)
 +--OR('CalculSpeeTile10+SpeeTherm15-30'!$AG$24=2,'CalculSpeeTile10+SpeeTherm15-30'!$AG$24=3)</f>
        <v>0</v>
      </c>
      <c r="F50" s="383">
        <v>76</v>
      </c>
      <c r="G50" s="335">
        <f t="shared" si="6"/>
        <v>0</v>
      </c>
      <c r="H50" s="330">
        <f t="shared" si="7"/>
        <v>0</v>
      </c>
      <c r="I50" s="331"/>
      <c r="J50" s="5"/>
      <c r="K50" s="5"/>
      <c r="L50" s="5"/>
      <c r="M50" s="5"/>
      <c r="N50" s="5"/>
      <c r="O50" s="5"/>
      <c r="P50" s="5"/>
      <c r="Q50" s="5"/>
    </row>
    <row r="51" spans="1:17" ht="18" hidden="1" customHeight="1" thickBot="1">
      <c r="A51" s="334"/>
      <c r="B51" s="260" t="s">
        <v>412</v>
      </c>
      <c r="C51" s="332" t="s">
        <v>423</v>
      </c>
      <c r="D51" s="260" t="s">
        <v>11</v>
      </c>
      <c r="E51" s="333" cm="1">
        <f t="array" ref="E51">--OR('CalculSpeeTile10+SpeeTherm15-30'!$K$24={4,5,6,7})
 +--OR('CalculSpeeTile10+SpeeTherm15-30'!$V$24={4,5,6,7})
 +--OR('CalculSpeeTile10+SpeeTherm15-30'!$AG$24={4,5,6,7})</f>
        <v>0</v>
      </c>
      <c r="F51" s="383">
        <v>82</v>
      </c>
      <c r="G51" s="335">
        <f t="shared" si="6"/>
        <v>0</v>
      </c>
      <c r="H51" s="330">
        <f t="shared" si="7"/>
        <v>0</v>
      </c>
      <c r="I51" s="331"/>
      <c r="J51" s="5"/>
      <c r="K51" s="5"/>
      <c r="L51" s="5"/>
      <c r="M51" s="5"/>
      <c r="N51" s="5"/>
      <c r="O51" s="5"/>
      <c r="P51" s="5"/>
      <c r="Q51" s="5"/>
    </row>
    <row r="52" spans="1:17" ht="16.95" customHeight="1" thickTop="1" thickBot="1">
      <c r="A52" s="334"/>
      <c r="B52" s="260" t="s">
        <v>130</v>
      </c>
      <c r="C52" s="332" t="s">
        <v>424</v>
      </c>
      <c r="D52" s="260" t="s">
        <v>11</v>
      </c>
      <c r="E52" s="333" cm="1">
        <f t="array" ref="E52">--OR('CalculSpeeTile10+SpeeTherm15-30'!$K$24={8,9,10,11})
 +--OR('CalculSpeeTile10+SpeeTherm15-30'!$V$24={8,9,10,11})
 +--OR('CalculSpeeTile10+SpeeTherm15-30'!$AG$24={8,9,10,11})</f>
        <v>0</v>
      </c>
      <c r="F52" s="383">
        <v>96</v>
      </c>
      <c r="G52" s="335">
        <f t="shared" si="6"/>
        <v>0</v>
      </c>
      <c r="H52" s="330">
        <f t="shared" si="7"/>
        <v>0</v>
      </c>
      <c r="I52" s="331"/>
      <c r="J52" s="5"/>
      <c r="K52" s="5"/>
      <c r="L52" s="5"/>
      <c r="M52" s="5"/>
      <c r="N52" s="5"/>
      <c r="O52" s="5"/>
      <c r="P52" s="5"/>
      <c r="Q52" s="5"/>
    </row>
    <row r="53" spans="1:17" ht="16.95" hidden="1" customHeight="1" thickBot="1">
      <c r="A53" s="334"/>
      <c r="B53" s="260" t="s">
        <v>131</v>
      </c>
      <c r="C53" s="332" t="s">
        <v>425</v>
      </c>
      <c r="D53" s="260" t="s">
        <v>11</v>
      </c>
      <c r="E53" s="333" cm="1">
        <f t="array" ref="E53">--OR('CalculSpeeTile10+SpeeTherm15-30'!$K$24={12,13})
 +--OR('CalculSpeeTile10+SpeeTherm15-30'!$V$24={12,13})
 +--OR('CalculSpeeTile10+SpeeTherm15-30'!$AG$24={12,13})</f>
        <v>0</v>
      </c>
      <c r="F53" s="383">
        <v>102</v>
      </c>
      <c r="G53" s="335">
        <f t="shared" si="6"/>
        <v>0</v>
      </c>
      <c r="H53" s="330">
        <f t="shared" si="7"/>
        <v>0</v>
      </c>
      <c r="I53" s="331"/>
      <c r="J53" s="5"/>
      <c r="K53" s="5"/>
      <c r="L53" s="5"/>
      <c r="M53" s="5"/>
      <c r="N53" s="5"/>
      <c r="O53" s="5"/>
      <c r="P53" s="5"/>
      <c r="Q53" s="5"/>
    </row>
    <row r="54" spans="1:17" ht="18" hidden="1" customHeight="1" thickBot="1">
      <c r="A54" s="346"/>
      <c r="B54" s="347" t="s">
        <v>325</v>
      </c>
      <c r="C54" s="348" t="s">
        <v>426</v>
      </c>
      <c r="D54" s="347" t="s">
        <v>11</v>
      </c>
      <c r="E54" s="349" cm="1">
        <f t="array" ref="E54">--OR('CalculSpeeTile10+SpeeTherm15-30'!$K$24={14,15})
 +--OR('CalculSpeeTile10+SpeeTherm15-30'!$V$24={14,15})
 +--OR('CalculSpeeTile10+SpeeTherm15-30'!$AG$24={14,15})</f>
        <v>0</v>
      </c>
      <c r="F54" s="385">
        <v>120</v>
      </c>
      <c r="G54" s="350">
        <f t="shared" si="6"/>
        <v>0</v>
      </c>
      <c r="H54" s="330">
        <f t="shared" si="7"/>
        <v>0</v>
      </c>
      <c r="I54" s="331"/>
      <c r="J54" s="5"/>
      <c r="K54" s="5"/>
      <c r="L54" s="5"/>
      <c r="M54" s="5"/>
      <c r="N54" s="5"/>
      <c r="O54" s="5"/>
      <c r="P54" s="5"/>
      <c r="Q54" s="5"/>
    </row>
    <row r="55" spans="1:17" ht="16.95" customHeight="1" thickTop="1" thickBot="1">
      <c r="A55" s="585" t="s">
        <v>529</v>
      </c>
      <c r="B55" s="591"/>
      <c r="C55" s="591"/>
      <c r="D55" s="592"/>
      <c r="E55" s="393">
        <f>'CalculSpeeTile10+SpeeTherm15-30'!G20+'CalculSpeeTile10+SpeeTherm15-30'!R20+'CalculSpeeTile10+SpeeTherm15-30'!AC20</f>
        <v>0</v>
      </c>
      <c r="F55" s="381"/>
      <c r="G55" s="382"/>
      <c r="H55" s="248">
        <f>SUM(H56)</f>
        <v>0</v>
      </c>
      <c r="I55" s="341"/>
      <c r="J55" s="5"/>
      <c r="K55" s="5"/>
      <c r="L55" s="5"/>
      <c r="M55" s="5"/>
      <c r="N55" s="5"/>
      <c r="O55" s="5"/>
      <c r="P55" s="5"/>
      <c r="Q55" s="5"/>
    </row>
    <row r="56" spans="1:17" ht="16.95" customHeight="1" thickTop="1" thickBot="1">
      <c r="A56" s="394"/>
      <c r="B56" s="395" t="s">
        <v>481</v>
      </c>
      <c r="C56" s="396" t="s">
        <v>530</v>
      </c>
      <c r="D56" s="395" t="s">
        <v>11</v>
      </c>
      <c r="E56" s="397">
        <f>'CalculSpeeTile10+SpeeTherm15-30'!B24</f>
        <v>0</v>
      </c>
      <c r="F56" s="398">
        <v>17</v>
      </c>
      <c r="G56" s="399">
        <f t="shared" ref="G56:G80" si="8">E56*F56</f>
        <v>0</v>
      </c>
      <c r="H56" s="330">
        <f t="shared" ref="H56:H80" si="9">E56</f>
        <v>0</v>
      </c>
      <c r="I56" s="353"/>
      <c r="J56" s="5"/>
      <c r="K56" s="5"/>
      <c r="L56" s="5"/>
      <c r="M56" s="5"/>
      <c r="N56" s="5"/>
      <c r="O56" s="5"/>
      <c r="P56" s="5"/>
      <c r="Q56" s="5"/>
    </row>
    <row r="57" spans="1:17" ht="16.95" customHeight="1" thickTop="1" thickBot="1">
      <c r="A57" s="589" t="s">
        <v>520</v>
      </c>
      <c r="B57" s="601"/>
      <c r="C57" s="601"/>
      <c r="D57" s="602"/>
      <c r="E57" s="393">
        <f>'CalculSpeeTile10+SpeeTherm15-30'!B20+'CalculSpeeTile10+SpeeTherm15-30'!M20+'CalculSpeeTile10+SpeeTherm15-30'!X20</f>
        <v>0</v>
      </c>
      <c r="F57" s="439"/>
      <c r="G57" s="440"/>
      <c r="H57" s="248">
        <f>SUM(H58)</f>
        <v>0</v>
      </c>
      <c r="I57" s="341"/>
      <c r="J57" s="5"/>
      <c r="K57" s="5"/>
      <c r="L57" s="5"/>
      <c r="M57" s="5"/>
      <c r="N57" s="5"/>
      <c r="O57" s="5"/>
      <c r="P57" s="5"/>
      <c r="Q57" s="5"/>
    </row>
    <row r="58" spans="1:17" ht="28.05" customHeight="1" thickTop="1" thickBot="1">
      <c r="A58" s="377"/>
      <c r="B58" s="327" t="s">
        <v>521</v>
      </c>
      <c r="C58" s="441" t="s">
        <v>531</v>
      </c>
      <c r="D58" s="327" t="s">
        <v>11</v>
      </c>
      <c r="E58" s="442">
        <f>'CalculSpeeTile10+SpeeTherm15-30'!A24</f>
        <v>0</v>
      </c>
      <c r="F58" s="378">
        <v>60</v>
      </c>
      <c r="G58" s="329">
        <f t="shared" si="8"/>
        <v>0</v>
      </c>
      <c r="H58" s="330">
        <f t="shared" si="9"/>
        <v>0</v>
      </c>
      <c r="I58" s="331"/>
      <c r="J58" s="5"/>
      <c r="K58" s="5"/>
      <c r="L58" s="5"/>
      <c r="M58" s="5"/>
      <c r="N58" s="5"/>
      <c r="O58" s="5"/>
      <c r="P58" s="5"/>
      <c r="Q58" s="5"/>
    </row>
    <row r="59" spans="1:17" ht="16.95" hidden="1" customHeight="1" thickTop="1" thickBot="1">
      <c r="A59" s="589" t="s">
        <v>523</v>
      </c>
      <c r="B59" s="601"/>
      <c r="C59" s="601"/>
      <c r="D59" s="602"/>
      <c r="E59" s="393"/>
      <c r="F59" s="439"/>
      <c r="G59" s="440"/>
      <c r="H59" s="248">
        <f>SUM(H60)</f>
        <v>0</v>
      </c>
      <c r="I59" s="341"/>
      <c r="J59" s="5"/>
      <c r="K59" s="5"/>
      <c r="L59" s="5"/>
      <c r="M59" s="5"/>
      <c r="N59" s="5"/>
      <c r="O59" s="5"/>
      <c r="P59" s="5"/>
      <c r="Q59" s="5"/>
    </row>
    <row r="60" spans="1:17" ht="28.05" hidden="1" customHeight="1" thickTop="1" thickBot="1">
      <c r="A60" s="334"/>
      <c r="B60" s="260" t="s">
        <v>521</v>
      </c>
      <c r="C60" s="408" t="s">
        <v>524</v>
      </c>
      <c r="D60" s="260" t="s">
        <v>439</v>
      </c>
      <c r="E60" s="442"/>
      <c r="F60" s="383">
        <v>104</v>
      </c>
      <c r="G60" s="335">
        <f t="shared" si="8"/>
        <v>0</v>
      </c>
      <c r="H60" s="330">
        <f t="shared" si="9"/>
        <v>0</v>
      </c>
      <c r="I60" s="331"/>
      <c r="J60" s="5"/>
      <c r="K60" s="5"/>
      <c r="L60" s="5"/>
      <c r="M60" s="5"/>
      <c r="N60" s="5"/>
      <c r="O60" s="5"/>
      <c r="P60" s="5"/>
      <c r="Q60" s="5"/>
    </row>
    <row r="61" spans="1:17" ht="28.05" customHeight="1" thickBot="1">
      <c r="A61" s="443"/>
      <c r="B61" s="260" t="s">
        <v>525</v>
      </c>
      <c r="C61" s="408" t="s">
        <v>526</v>
      </c>
      <c r="D61" s="260" t="s">
        <v>11</v>
      </c>
      <c r="E61" s="402">
        <f>'CalculSpeeTile10+SpeeTherm15-30'!E24</f>
        <v>0</v>
      </c>
      <c r="F61" s="383">
        <v>4.08</v>
      </c>
      <c r="G61" s="335">
        <f>E61*F61</f>
        <v>0</v>
      </c>
      <c r="H61" s="330">
        <f>E61</f>
        <v>0</v>
      </c>
      <c r="I61" s="331"/>
      <c r="J61" s="5"/>
      <c r="K61" s="5"/>
      <c r="L61" s="5"/>
      <c r="M61" s="5"/>
      <c r="N61" s="5"/>
      <c r="O61" s="5"/>
      <c r="P61" s="5"/>
      <c r="Q61" s="5"/>
    </row>
    <row r="62" spans="1:17" ht="16.95" customHeight="1" thickBot="1">
      <c r="A62" s="400"/>
      <c r="B62" s="401" t="s">
        <v>485</v>
      </c>
      <c r="C62" s="332" t="s">
        <v>486</v>
      </c>
      <c r="D62" s="260" t="s">
        <v>484</v>
      </c>
      <c r="E62" s="402">
        <f>'CalculSpeeTile10+SpeeTherm15-30'!I24+'CalculSpeeTile10+SpeeTherm15-30'!T24+'CalculSpeeTile10+SpeeTherm15-30'!AE24</f>
        <v>0</v>
      </c>
      <c r="F62" s="453">
        <v>12</v>
      </c>
      <c r="G62" s="335">
        <f t="shared" si="8"/>
        <v>0</v>
      </c>
      <c r="H62" s="330">
        <f t="shared" si="9"/>
        <v>0</v>
      </c>
      <c r="I62" s="331"/>
      <c r="J62" s="5"/>
      <c r="K62" s="5"/>
      <c r="L62" s="5"/>
      <c r="M62" s="5"/>
      <c r="N62" s="5"/>
      <c r="O62" s="5"/>
      <c r="P62" s="5"/>
      <c r="Q62" s="5"/>
    </row>
    <row r="63" spans="1:17" ht="16.95" customHeight="1" thickBot="1">
      <c r="A63" s="404"/>
      <c r="B63" s="380" t="s">
        <v>487</v>
      </c>
      <c r="C63" s="348" t="s">
        <v>488</v>
      </c>
      <c r="D63" s="347" t="s">
        <v>484</v>
      </c>
      <c r="E63" s="405">
        <f>'CalculSpeeTile10+SpeeTherm15-30'!L24+'CalculSpeeTile10+SpeeTherm15-30'!W24+'CalculSpeeTile10+SpeeTherm15-30'!AH24</f>
        <v>0</v>
      </c>
      <c r="F63" s="385">
        <v>15</v>
      </c>
      <c r="G63" s="350">
        <f t="shared" si="8"/>
        <v>0</v>
      </c>
      <c r="H63" s="330">
        <f t="shared" si="9"/>
        <v>0</v>
      </c>
      <c r="I63" s="331"/>
      <c r="J63" s="5"/>
      <c r="K63" s="5"/>
      <c r="L63" s="5"/>
      <c r="M63" s="5"/>
      <c r="N63" s="5"/>
      <c r="O63" s="5"/>
      <c r="P63" s="5"/>
      <c r="Q63" s="5"/>
    </row>
    <row r="64" spans="1:17" ht="16.95" customHeight="1" thickTop="1" thickBot="1">
      <c r="A64" s="585" t="s">
        <v>489</v>
      </c>
      <c r="B64" s="586"/>
      <c r="C64" s="586"/>
      <c r="D64" s="381"/>
      <c r="E64" s="381"/>
      <c r="F64" s="381"/>
      <c r="G64" s="382"/>
      <c r="H64" s="248">
        <f>SUM(H65:H80)</f>
        <v>0</v>
      </c>
      <c r="I64" s="341"/>
      <c r="J64" s="5"/>
      <c r="K64" s="5"/>
      <c r="L64" s="5"/>
      <c r="M64" s="5"/>
      <c r="N64" s="5"/>
      <c r="O64" s="5"/>
      <c r="P64" s="5"/>
      <c r="Q64" s="5"/>
    </row>
    <row r="65" spans="1:17" ht="18" hidden="1" customHeight="1" thickTop="1" thickBot="1">
      <c r="A65" s="326"/>
      <c r="B65" s="327" t="s">
        <v>15</v>
      </c>
      <c r="C65" s="328" t="s">
        <v>490</v>
      </c>
      <c r="D65" s="327" t="s">
        <v>14</v>
      </c>
      <c r="E65" s="327">
        <f>IF('CalculSpeeTile10+SpeeTherm15-30'!AB24=0,0,CEILING(('CalculSpeeTile10+SpeeTherm15-30'!AB24-E66*75)/30,1))</f>
        <v>0</v>
      </c>
      <c r="F65" s="378">
        <v>50</v>
      </c>
      <c r="G65" s="329">
        <f t="shared" si="8"/>
        <v>0</v>
      </c>
      <c r="H65" s="330">
        <f t="shared" si="9"/>
        <v>0</v>
      </c>
      <c r="I65" s="331"/>
      <c r="J65" s="5"/>
      <c r="K65" s="5"/>
      <c r="L65" s="5"/>
      <c r="M65" s="5"/>
      <c r="N65" s="5"/>
      <c r="O65" s="5"/>
      <c r="P65" s="5"/>
      <c r="Q65" s="5"/>
    </row>
    <row r="66" spans="1:17" ht="18" hidden="1" customHeight="1" thickBot="1">
      <c r="A66" s="334"/>
      <c r="B66" s="260" t="s">
        <v>101</v>
      </c>
      <c r="C66" s="332" t="s">
        <v>491</v>
      </c>
      <c r="D66" s="260" t="s">
        <v>14</v>
      </c>
      <c r="E66" s="260">
        <f>IF('CalculSpeeTile10+SpeeTherm15-30'!AB24=0,0,INT('CalculSpeeTile10+SpeeTherm15-30'!AB24/75))</f>
        <v>0</v>
      </c>
      <c r="F66" s="383">
        <v>119</v>
      </c>
      <c r="G66" s="335">
        <f t="shared" si="8"/>
        <v>0</v>
      </c>
      <c r="H66" s="330">
        <f t="shared" si="9"/>
        <v>0</v>
      </c>
      <c r="I66" s="331"/>
      <c r="J66" s="5"/>
      <c r="K66" s="5"/>
      <c r="L66" s="5"/>
      <c r="M66" s="5"/>
      <c r="N66" s="5"/>
      <c r="O66" s="5"/>
      <c r="P66" s="5"/>
      <c r="Q66" s="5"/>
    </row>
    <row r="67" spans="1:17" ht="16.95" customHeight="1" thickTop="1" thickBot="1">
      <c r="A67" s="406"/>
      <c r="B67" s="407" t="s">
        <v>492</v>
      </c>
      <c r="C67" s="408" t="s">
        <v>493</v>
      </c>
      <c r="D67" s="407" t="s">
        <v>11</v>
      </c>
      <c r="E67" s="407">
        <f>'CalculSpeeTile10+SpeeTherm15-30'!M24</f>
        <v>0</v>
      </c>
      <c r="F67" s="383">
        <v>0.55000000000000004</v>
      </c>
      <c r="G67" s="335">
        <f t="shared" si="8"/>
        <v>0</v>
      </c>
      <c r="H67" s="330">
        <f t="shared" si="9"/>
        <v>0</v>
      </c>
      <c r="I67" s="331"/>
      <c r="J67" s="5"/>
      <c r="K67" s="5"/>
      <c r="L67" s="5"/>
      <c r="M67" s="5"/>
      <c r="N67" s="5"/>
      <c r="O67" s="5"/>
      <c r="P67" s="5"/>
      <c r="Q67" s="5"/>
    </row>
    <row r="68" spans="1:17" ht="16.95" customHeight="1" thickBot="1">
      <c r="A68" s="406"/>
      <c r="B68" s="407" t="s">
        <v>494</v>
      </c>
      <c r="C68" s="408" t="s">
        <v>495</v>
      </c>
      <c r="D68" s="407" t="s">
        <v>11</v>
      </c>
      <c r="E68" s="407">
        <f>'CalculSpeeTile10+SpeeTherm15-30'!N24</f>
        <v>0</v>
      </c>
      <c r="F68" s="383">
        <v>0.55000000000000004</v>
      </c>
      <c r="G68" s="335">
        <f t="shared" si="8"/>
        <v>0</v>
      </c>
      <c r="H68" s="330">
        <f t="shared" si="9"/>
        <v>0</v>
      </c>
      <c r="I68" s="331"/>
      <c r="J68" s="5"/>
      <c r="K68" s="5"/>
      <c r="L68" s="5"/>
      <c r="M68" s="5"/>
      <c r="N68" s="5"/>
      <c r="O68" s="5"/>
      <c r="P68" s="5"/>
      <c r="Q68" s="5"/>
    </row>
    <row r="69" spans="1:17" ht="16.95" customHeight="1" thickBot="1">
      <c r="A69" s="406"/>
      <c r="B69" s="407" t="s">
        <v>496</v>
      </c>
      <c r="C69" s="408" t="s">
        <v>497</v>
      </c>
      <c r="D69" s="407" t="s">
        <v>11</v>
      </c>
      <c r="E69" s="409">
        <f>'CalculSpeeTile10+SpeeTherm15-30'!P24</f>
        <v>0</v>
      </c>
      <c r="F69" s="383">
        <v>0.8</v>
      </c>
      <c r="G69" s="335">
        <f t="shared" si="8"/>
        <v>0</v>
      </c>
      <c r="H69" s="330">
        <f t="shared" si="9"/>
        <v>0</v>
      </c>
      <c r="I69" s="331"/>
      <c r="J69" s="5"/>
      <c r="K69" s="5"/>
      <c r="L69" s="5"/>
      <c r="M69" s="5"/>
      <c r="N69" s="5"/>
      <c r="O69" s="5"/>
      <c r="P69" s="5"/>
      <c r="Q69" s="5"/>
    </row>
    <row r="70" spans="1:17" ht="18" hidden="1" customHeight="1" thickBot="1">
      <c r="A70" s="406"/>
      <c r="B70" s="407" t="s">
        <v>498</v>
      </c>
      <c r="C70" s="408" t="s">
        <v>499</v>
      </c>
      <c r="D70" s="407" t="s">
        <v>11</v>
      </c>
      <c r="E70" s="407">
        <f>'CalculSpeeTile10+SpeeTherm15-30'!Y24</f>
        <v>0</v>
      </c>
      <c r="F70" s="383">
        <v>9.24</v>
      </c>
      <c r="G70" s="335">
        <f t="shared" si="8"/>
        <v>0</v>
      </c>
      <c r="H70" s="330">
        <f t="shared" si="9"/>
        <v>0</v>
      </c>
      <c r="I70" s="331"/>
      <c r="J70" s="5"/>
      <c r="K70" s="5"/>
      <c r="L70" s="5"/>
      <c r="M70" s="5"/>
      <c r="N70" s="5"/>
      <c r="O70" s="5"/>
      <c r="P70" s="5"/>
      <c r="Q70" s="5"/>
    </row>
    <row r="71" spans="1:17" ht="18" hidden="1" customHeight="1" thickBot="1">
      <c r="A71" s="406"/>
      <c r="B71" s="407" t="s">
        <v>500</v>
      </c>
      <c r="C71" s="408" t="s">
        <v>501</v>
      </c>
      <c r="D71" s="407" t="s">
        <v>11</v>
      </c>
      <c r="E71" s="409">
        <f>'CalculSpeeTile10+SpeeTherm15-30'!AA24</f>
        <v>0</v>
      </c>
      <c r="F71" s="383">
        <v>4</v>
      </c>
      <c r="G71" s="335">
        <f t="shared" si="8"/>
        <v>0</v>
      </c>
      <c r="H71" s="330">
        <f t="shared" si="9"/>
        <v>0</v>
      </c>
      <c r="I71" s="331"/>
      <c r="J71" s="5"/>
      <c r="K71" s="5"/>
      <c r="L71" s="5"/>
      <c r="M71" s="5"/>
      <c r="N71" s="5"/>
      <c r="O71" s="5"/>
      <c r="P71" s="5"/>
      <c r="Q71" s="5"/>
    </row>
    <row r="72" spans="1:17" ht="18" hidden="1" customHeight="1" thickBot="1">
      <c r="A72" s="406"/>
      <c r="B72" s="407">
        <v>720200</v>
      </c>
      <c r="C72" s="408" t="s">
        <v>502</v>
      </c>
      <c r="D72" s="407" t="s">
        <v>11</v>
      </c>
      <c r="E72" s="407">
        <f>'CalculSpeeTile10+SpeeTherm15-30'!AC24</f>
        <v>0</v>
      </c>
      <c r="F72" s="383">
        <v>5</v>
      </c>
      <c r="G72" s="335">
        <f t="shared" si="8"/>
        <v>0</v>
      </c>
      <c r="H72" s="330">
        <f t="shared" si="9"/>
        <v>0</v>
      </c>
      <c r="I72" s="331"/>
      <c r="J72" s="5"/>
      <c r="K72" s="5"/>
      <c r="L72" s="5"/>
      <c r="M72" s="5"/>
      <c r="N72" s="5"/>
      <c r="O72" s="5"/>
      <c r="P72" s="5"/>
      <c r="Q72" s="5"/>
    </row>
    <row r="73" spans="1:17" ht="18" hidden="1" customHeight="1" thickBot="1">
      <c r="A73" s="410"/>
      <c r="B73" s="411">
        <v>630112</v>
      </c>
      <c r="C73" s="412" t="s">
        <v>503</v>
      </c>
      <c r="D73" s="411" t="s">
        <v>13</v>
      </c>
      <c r="E73" s="411"/>
      <c r="F73" s="383">
        <v>81</v>
      </c>
      <c r="G73" s="335">
        <f t="shared" si="8"/>
        <v>0</v>
      </c>
      <c r="H73" s="330">
        <f t="shared" si="9"/>
        <v>0</v>
      </c>
      <c r="I73" s="331"/>
      <c r="J73" s="5"/>
      <c r="K73" s="5"/>
      <c r="L73" s="5"/>
      <c r="M73" s="5"/>
      <c r="N73" s="5"/>
      <c r="O73" s="5"/>
      <c r="P73" s="5"/>
      <c r="Q73" s="5"/>
    </row>
    <row r="74" spans="1:17" ht="24.45" hidden="1" customHeight="1" thickBot="1">
      <c r="A74" s="410"/>
      <c r="B74" s="411">
        <v>630113</v>
      </c>
      <c r="C74" s="413" t="s">
        <v>504</v>
      </c>
      <c r="D74" s="411" t="s">
        <v>13</v>
      </c>
      <c r="E74" s="411"/>
      <c r="F74" s="383">
        <v>123</v>
      </c>
      <c r="G74" s="335">
        <f t="shared" si="8"/>
        <v>0</v>
      </c>
      <c r="H74" s="330">
        <f t="shared" si="9"/>
        <v>0</v>
      </c>
      <c r="I74" s="331"/>
      <c r="J74" s="5"/>
      <c r="K74" s="5"/>
      <c r="L74" s="5"/>
      <c r="M74" s="5"/>
      <c r="N74" s="5"/>
      <c r="O74" s="5"/>
      <c r="P74" s="5"/>
      <c r="Q74" s="5"/>
    </row>
    <row r="75" spans="1:17" ht="16.95" customHeight="1" thickBot="1">
      <c r="A75" s="334"/>
      <c r="B75" s="260" t="s">
        <v>505</v>
      </c>
      <c r="C75" s="332" t="s">
        <v>532</v>
      </c>
      <c r="D75" s="260" t="s">
        <v>439</v>
      </c>
      <c r="E75" s="260">
        <f>'CalculSpeeTile10+SpeeTherm15-30'!G24</f>
        <v>0</v>
      </c>
      <c r="F75" s="383">
        <v>6</v>
      </c>
      <c r="G75" s="335">
        <f t="shared" si="8"/>
        <v>0</v>
      </c>
      <c r="H75" s="330">
        <f t="shared" si="9"/>
        <v>0</v>
      </c>
      <c r="I75" s="331"/>
      <c r="J75" s="5"/>
      <c r="K75" s="5"/>
      <c r="L75" s="5"/>
      <c r="M75" s="5"/>
      <c r="N75" s="5"/>
      <c r="O75" s="5"/>
      <c r="P75" s="5"/>
      <c r="Q75" s="5"/>
    </row>
    <row r="76" spans="1:17" ht="16.95" customHeight="1" thickBot="1">
      <c r="A76" s="406"/>
      <c r="B76" s="407" t="s">
        <v>507</v>
      </c>
      <c r="C76" s="332" t="s">
        <v>508</v>
      </c>
      <c r="D76" s="407" t="s">
        <v>11</v>
      </c>
      <c r="E76" s="409">
        <f>'CalculSpeeTile10+SpeeTherm15-30'!Q24</f>
        <v>0</v>
      </c>
      <c r="F76" s="383">
        <v>8</v>
      </c>
      <c r="G76" s="335">
        <f t="shared" si="8"/>
        <v>0</v>
      </c>
      <c r="H76" s="330">
        <f t="shared" si="9"/>
        <v>0</v>
      </c>
      <c r="I76" s="414"/>
      <c r="J76" s="5"/>
      <c r="K76" s="5"/>
      <c r="L76" s="5"/>
      <c r="M76" s="5"/>
      <c r="N76" s="5"/>
      <c r="O76" s="5"/>
      <c r="P76" s="5"/>
      <c r="Q76" s="5"/>
    </row>
    <row r="77" spans="1:17" ht="18" hidden="1" customHeight="1" thickBot="1">
      <c r="A77" s="406"/>
      <c r="B77" s="407" t="s">
        <v>509</v>
      </c>
      <c r="C77" s="332" t="s">
        <v>510</v>
      </c>
      <c r="D77" s="407" t="s">
        <v>11</v>
      </c>
      <c r="E77" s="407"/>
      <c r="F77" s="383">
        <v>304</v>
      </c>
      <c r="G77" s="335">
        <f t="shared" si="8"/>
        <v>0</v>
      </c>
      <c r="H77" s="330">
        <f t="shared" si="9"/>
        <v>0</v>
      </c>
      <c r="I77" s="414"/>
      <c r="J77" s="5"/>
      <c r="K77" s="5"/>
      <c r="L77" s="5"/>
      <c r="M77" s="5"/>
      <c r="N77" s="5"/>
      <c r="O77" s="5"/>
      <c r="P77" s="5"/>
      <c r="Q77" s="5"/>
    </row>
    <row r="78" spans="1:17" ht="16.95" customHeight="1" thickBot="1">
      <c r="A78" s="406"/>
      <c r="B78" s="407" t="s">
        <v>511</v>
      </c>
      <c r="C78" s="332" t="s">
        <v>512</v>
      </c>
      <c r="D78" s="407" t="s">
        <v>11</v>
      </c>
      <c r="E78" s="407">
        <f>'CalculSpeeTile10+SpeeTherm15-30'!R24</f>
        <v>0</v>
      </c>
      <c r="F78" s="383">
        <v>21</v>
      </c>
      <c r="G78" s="335">
        <f t="shared" si="8"/>
        <v>0</v>
      </c>
      <c r="H78" s="330">
        <f t="shared" si="9"/>
        <v>0</v>
      </c>
      <c r="I78" s="414"/>
      <c r="J78" s="5"/>
      <c r="K78" s="5"/>
      <c r="L78" s="5"/>
      <c r="M78" s="5"/>
      <c r="N78" s="5"/>
      <c r="O78" s="5"/>
      <c r="P78" s="5"/>
      <c r="Q78" s="5"/>
    </row>
    <row r="79" spans="1:17" ht="18" hidden="1" customHeight="1" thickBot="1">
      <c r="A79" s="406"/>
      <c r="B79" s="407" t="s">
        <v>513</v>
      </c>
      <c r="C79" s="332" t="s">
        <v>514</v>
      </c>
      <c r="D79" s="407" t="s">
        <v>11</v>
      </c>
      <c r="E79" s="407"/>
      <c r="F79" s="383">
        <v>145</v>
      </c>
      <c r="G79" s="335">
        <f t="shared" si="8"/>
        <v>0</v>
      </c>
      <c r="H79" s="330">
        <f t="shared" si="9"/>
        <v>0</v>
      </c>
      <c r="I79" s="415"/>
      <c r="J79" s="5"/>
      <c r="K79" s="5"/>
      <c r="L79" s="5"/>
      <c r="M79" s="5"/>
      <c r="N79" s="5"/>
      <c r="O79" s="5"/>
      <c r="P79" s="5"/>
      <c r="Q79" s="5"/>
    </row>
    <row r="80" spans="1:17" ht="16.95" customHeight="1" thickBot="1">
      <c r="A80" s="416"/>
      <c r="B80" s="417" t="s">
        <v>515</v>
      </c>
      <c r="C80" s="418" t="s">
        <v>516</v>
      </c>
      <c r="D80" s="419" t="s">
        <v>11</v>
      </c>
      <c r="E80" s="419">
        <f>'CalculSpeeTile10+SpeeTherm15-30'!X24</f>
        <v>0</v>
      </c>
      <c r="F80" s="420">
        <v>28</v>
      </c>
      <c r="G80" s="421">
        <f t="shared" si="8"/>
        <v>0</v>
      </c>
      <c r="H80" s="330">
        <f t="shared" si="9"/>
        <v>0</v>
      </c>
      <c r="I80" s="415"/>
      <c r="J80" s="5"/>
      <c r="K80" s="5"/>
      <c r="L80" s="5"/>
      <c r="M80" s="5"/>
      <c r="N80" s="5"/>
      <c r="O80" s="5"/>
      <c r="P80" s="5"/>
      <c r="Q80" s="5"/>
    </row>
    <row r="81" spans="1:24" ht="16.95" customHeight="1" thickTop="1" thickBot="1">
      <c r="A81" s="522" t="s">
        <v>25</v>
      </c>
      <c r="B81" s="540"/>
      <c r="C81" s="540"/>
      <c r="D81" s="540"/>
      <c r="E81" s="42"/>
      <c r="F81" s="153"/>
      <c r="G81" s="445">
        <f>SUM(G17:G80)</f>
        <v>0</v>
      </c>
      <c r="H81" s="423">
        <f>G81</f>
        <v>0</v>
      </c>
      <c r="I81" s="5"/>
      <c r="J81" s="5"/>
      <c r="K81" s="5"/>
      <c r="L81" s="5"/>
      <c r="M81" s="5"/>
      <c r="N81" s="5"/>
      <c r="O81" s="5"/>
      <c r="P81" s="5"/>
      <c r="Q81" s="5"/>
    </row>
    <row r="82" spans="1:24" ht="16.95" customHeight="1" thickTop="1" thickBot="1">
      <c r="A82" s="522" t="s">
        <v>156</v>
      </c>
      <c r="B82" s="539"/>
      <c r="C82" s="539"/>
      <c r="D82" s="539"/>
      <c r="E82" s="47">
        <v>0.05</v>
      </c>
      <c r="F82" s="153"/>
      <c r="G82" s="98">
        <f>G81*(1-E82)</f>
        <v>0</v>
      </c>
      <c r="H82" s="423">
        <f t="shared" ref="H82:H83" si="10">G82</f>
        <v>0</v>
      </c>
      <c r="I82" s="5"/>
      <c r="J82" s="5"/>
      <c r="K82" s="5"/>
      <c r="L82" s="5"/>
      <c r="M82" s="5"/>
      <c r="N82" s="5"/>
      <c r="O82" s="5"/>
      <c r="P82" s="5"/>
      <c r="Q82" s="5"/>
    </row>
    <row r="83" spans="1:24" ht="16.95" customHeight="1" thickTop="1" thickBot="1">
      <c r="A83" s="522" t="s">
        <v>143</v>
      </c>
      <c r="B83" s="540"/>
      <c r="C83" s="540"/>
      <c r="D83" s="540"/>
      <c r="E83" s="42"/>
      <c r="F83" s="153"/>
      <c r="G83" s="98">
        <f>G82*1.21</f>
        <v>0</v>
      </c>
      <c r="H83" s="423">
        <f t="shared" si="10"/>
        <v>0</v>
      </c>
      <c r="I83" s="5"/>
      <c r="J83" s="5"/>
      <c r="K83" s="5"/>
      <c r="L83" s="5"/>
      <c r="M83" s="5"/>
      <c r="N83" s="5"/>
      <c r="O83" s="5"/>
      <c r="P83" s="5"/>
      <c r="Q83" s="5"/>
    </row>
    <row r="84" spans="1:24" ht="14.25" customHeight="1" thickTop="1">
      <c r="A84" s="424"/>
      <c r="B84" s="424"/>
      <c r="C84" s="425"/>
      <c r="D84" s="424"/>
      <c r="E84" s="424"/>
      <c r="F84" s="424"/>
      <c r="G84" s="424"/>
      <c r="H84" s="250"/>
      <c r="I84" s="5"/>
      <c r="J84" s="5"/>
      <c r="K84" s="5"/>
      <c r="L84" s="5"/>
      <c r="M84" s="5"/>
      <c r="N84" s="5"/>
      <c r="O84" s="5"/>
      <c r="P84" s="5"/>
      <c r="Q84" s="5"/>
    </row>
    <row r="85" spans="1:24" ht="14.25" customHeight="1">
      <c r="A85" s="424"/>
      <c r="B85" s="424"/>
      <c r="C85" s="425"/>
      <c r="D85" s="424"/>
      <c r="E85" s="424"/>
      <c r="F85" s="424"/>
      <c r="G85" s="424"/>
      <c r="H85" s="250"/>
      <c r="I85" s="5"/>
      <c r="J85" s="5"/>
      <c r="K85" s="5"/>
      <c r="L85" s="5"/>
      <c r="M85" s="5"/>
      <c r="N85" s="5"/>
      <c r="O85" s="5"/>
      <c r="P85" s="5"/>
      <c r="Q85" s="5"/>
    </row>
    <row r="86" spans="1:24" ht="18.75" customHeight="1">
      <c r="A86" s="541" t="s">
        <v>287</v>
      </c>
      <c r="B86" s="541"/>
      <c r="C86" s="541"/>
      <c r="D86" s="541"/>
      <c r="E86" s="541"/>
      <c r="F86" s="541"/>
      <c r="G86" s="541"/>
      <c r="H86" s="250">
        <f>SUM(H95:H127)</f>
        <v>0</v>
      </c>
      <c r="I86" s="5"/>
      <c r="J86" s="5"/>
      <c r="K86" s="5"/>
      <c r="L86" s="5"/>
      <c r="M86" s="5"/>
      <c r="N86" s="5"/>
      <c r="O86" s="5"/>
      <c r="P86" s="5"/>
      <c r="Q86" s="5"/>
    </row>
    <row r="87" spans="1:24" ht="18.75" customHeight="1">
      <c r="A87" s="72"/>
      <c r="B87" s="72"/>
      <c r="C87" s="72"/>
      <c r="D87" s="72"/>
      <c r="E87" s="72"/>
      <c r="F87" s="72"/>
      <c r="G87" s="72"/>
      <c r="H87" s="250"/>
      <c r="I87" s="5"/>
      <c r="J87" s="5"/>
      <c r="K87" s="5"/>
      <c r="L87" s="5"/>
      <c r="M87" s="5"/>
      <c r="N87" s="5"/>
      <c r="O87" s="5"/>
      <c r="P87" s="5"/>
      <c r="Q87" s="5"/>
    </row>
    <row r="88" spans="1:24" ht="17.25" customHeight="1">
      <c r="A88" s="72"/>
      <c r="B88" s="72"/>
      <c r="C88" s="72"/>
      <c r="D88" s="72"/>
      <c r="E88" s="72"/>
      <c r="F88" s="72"/>
      <c r="G88" s="72"/>
      <c r="H88" s="250"/>
      <c r="I88" s="5"/>
      <c r="J88" s="5"/>
      <c r="K88" s="5"/>
      <c r="L88" s="5"/>
      <c r="M88" s="5"/>
      <c r="N88" s="5"/>
      <c r="O88" s="5"/>
      <c r="P88" s="5"/>
      <c r="Q88" s="5"/>
    </row>
    <row r="89" spans="1:24" ht="18" customHeight="1">
      <c r="A89" s="593" t="s">
        <v>26</v>
      </c>
      <c r="B89" s="593"/>
      <c r="C89" s="593"/>
      <c r="D89" s="593"/>
      <c r="E89" s="593"/>
      <c r="F89" s="593"/>
      <c r="G89" s="593"/>
      <c r="H89" s="250">
        <f>G106</f>
        <v>0</v>
      </c>
      <c r="I89" s="5"/>
      <c r="J89" s="5"/>
      <c r="K89" s="5"/>
      <c r="L89" s="5"/>
      <c r="M89" s="5"/>
      <c r="N89" s="5"/>
      <c r="O89" s="5"/>
      <c r="P89" s="5"/>
      <c r="Q89" s="5"/>
    </row>
    <row r="90" spans="1:24">
      <c r="A90" s="544"/>
      <c r="B90" s="544"/>
      <c r="C90" s="544"/>
      <c r="D90" s="544"/>
      <c r="E90" s="544"/>
      <c r="F90" s="544"/>
      <c r="G90" s="544"/>
      <c r="H90" s="249">
        <f>G106</f>
        <v>0</v>
      </c>
      <c r="I90" s="5"/>
      <c r="J90" s="5"/>
      <c r="K90" s="5"/>
      <c r="L90" s="5"/>
      <c r="M90" s="5"/>
      <c r="N90" s="5"/>
      <c r="O90" s="5"/>
      <c r="P90" s="5"/>
      <c r="Q90" s="5"/>
    </row>
    <row r="91" spans="1:24" ht="11.25" customHeight="1" thickBot="1">
      <c r="A91" s="16"/>
      <c r="B91" s="15"/>
      <c r="C91" s="15"/>
      <c r="D91" s="15"/>
      <c r="E91" s="15"/>
      <c r="F91" s="15"/>
      <c r="G91" s="15"/>
      <c r="H91" s="249">
        <f>G106</f>
        <v>0</v>
      </c>
      <c r="I91" s="5"/>
      <c r="J91" s="5"/>
      <c r="K91" s="5"/>
      <c r="L91" s="5"/>
      <c r="M91" s="5"/>
      <c r="N91" s="5"/>
      <c r="O91" s="5"/>
      <c r="P91" s="5"/>
      <c r="Q91" s="5"/>
    </row>
    <row r="92" spans="1:24" ht="18.75" customHeight="1" thickTop="1">
      <c r="A92" s="6" t="s">
        <v>1</v>
      </c>
      <c r="B92" s="518" t="s">
        <v>3</v>
      </c>
      <c r="C92" s="518" t="s">
        <v>4</v>
      </c>
      <c r="D92" s="518" t="s">
        <v>5</v>
      </c>
      <c r="E92" s="518" t="s">
        <v>6</v>
      </c>
      <c r="F92" s="7" t="s">
        <v>7</v>
      </c>
      <c r="G92" s="8" t="s">
        <v>9</v>
      </c>
      <c r="H92" s="249">
        <f>G106</f>
        <v>0</v>
      </c>
      <c r="I92" s="5"/>
      <c r="J92" s="5"/>
      <c r="K92" s="5"/>
      <c r="L92" s="5"/>
      <c r="M92" s="5"/>
      <c r="N92" s="5"/>
      <c r="O92" s="5"/>
      <c r="P92" s="5"/>
      <c r="Q92" s="5"/>
    </row>
    <row r="93" spans="1:24" ht="24" customHeight="1" thickBot="1">
      <c r="A93" s="17" t="s">
        <v>2</v>
      </c>
      <c r="B93" s="527"/>
      <c r="C93" s="527"/>
      <c r="D93" s="527"/>
      <c r="E93" s="527"/>
      <c r="F93" s="18" t="s">
        <v>8</v>
      </c>
      <c r="G93" s="19" t="s">
        <v>8</v>
      </c>
      <c r="H93" s="249">
        <f>G106</f>
        <v>0</v>
      </c>
      <c r="I93" s="5"/>
      <c r="J93" s="5"/>
      <c r="K93" s="5"/>
      <c r="L93" s="5"/>
      <c r="M93" s="5"/>
      <c r="N93" s="5"/>
      <c r="O93" s="5"/>
      <c r="P93" s="5"/>
      <c r="Q93" s="5"/>
    </row>
    <row r="94" spans="1:24" ht="18" customHeight="1" thickTop="1" thickBot="1">
      <c r="A94" s="571" t="s">
        <v>27</v>
      </c>
      <c r="B94" s="578"/>
      <c r="C94" s="578"/>
      <c r="D94" s="165"/>
      <c r="E94" s="165"/>
      <c r="F94" s="165"/>
      <c r="G94" s="153"/>
      <c r="H94" s="248">
        <f>SUM(H95:H97)</f>
        <v>0</v>
      </c>
      <c r="I94" s="5"/>
      <c r="J94" s="5"/>
      <c r="K94" s="5"/>
      <c r="L94" s="5"/>
      <c r="M94" s="5"/>
      <c r="N94" s="5"/>
      <c r="O94" s="5"/>
      <c r="P94" s="5"/>
      <c r="Q94" s="5"/>
      <c r="S94" s="5"/>
      <c r="T94" s="5"/>
      <c r="U94" s="5"/>
      <c r="V94" s="5"/>
      <c r="W94" s="5"/>
      <c r="X94" s="5"/>
    </row>
    <row r="95" spans="1:24" ht="28.05" customHeight="1" thickTop="1" thickBot="1">
      <c r="A95" s="12"/>
      <c r="B95" s="3" t="s">
        <v>28</v>
      </c>
      <c r="C95" s="13" t="s">
        <v>182</v>
      </c>
      <c r="D95" s="3" t="s">
        <v>11</v>
      </c>
      <c r="E95" s="3">
        <f>'CalculSpeeTile10+SpeeTherm15-30'!K22</f>
        <v>0</v>
      </c>
      <c r="F95" s="429">
        <v>179</v>
      </c>
      <c r="G95" s="33">
        <f>E95*F95</f>
        <v>0</v>
      </c>
      <c r="H95" s="248">
        <f>E95</f>
        <v>0</v>
      </c>
      <c r="I95" s="5"/>
      <c r="J95" s="5"/>
      <c r="K95" s="5"/>
      <c r="L95" s="5"/>
      <c r="M95" s="5"/>
      <c r="N95" s="5"/>
      <c r="O95" s="5"/>
      <c r="P95" s="5"/>
      <c r="Q95" s="5"/>
    </row>
    <row r="96" spans="1:24" ht="18" customHeight="1" thickBot="1">
      <c r="A96" s="12"/>
      <c r="B96" s="3" t="s">
        <v>29</v>
      </c>
      <c r="C96" s="13" t="s">
        <v>30</v>
      </c>
      <c r="D96" s="3" t="s">
        <v>11</v>
      </c>
      <c r="E96" s="3">
        <f>'CalculSpeeTile10+SpeeTherm15-30'!H24</f>
        <v>0</v>
      </c>
      <c r="F96" s="429">
        <v>17</v>
      </c>
      <c r="G96" s="33">
        <f t="shared" ref="G96:G101" si="11">E96*F96</f>
        <v>0</v>
      </c>
      <c r="H96" s="248">
        <f t="shared" ref="H96:H101" si="12">E96</f>
        <v>0</v>
      </c>
      <c r="I96" s="5"/>
      <c r="J96" s="5"/>
      <c r="K96" s="5"/>
      <c r="L96" s="5"/>
      <c r="M96" s="5"/>
      <c r="N96" s="5"/>
      <c r="O96" s="5"/>
      <c r="P96" s="5"/>
      <c r="Q96" s="5"/>
    </row>
    <row r="97" spans="1:17" ht="18" customHeight="1" thickBot="1">
      <c r="A97" s="35"/>
      <c r="B97" s="40" t="s">
        <v>31</v>
      </c>
      <c r="C97" s="37" t="s">
        <v>183</v>
      </c>
      <c r="D97" s="40" t="s">
        <v>11</v>
      </c>
      <c r="E97" s="40">
        <f>IF(OR('CalculSpeeTile10+SpeeTherm15-30'!J22=0),0,'CalculSpeeTile10+SpeeTherm15-30'!J22-1)</f>
        <v>0</v>
      </c>
      <c r="F97" s="430">
        <v>41</v>
      </c>
      <c r="G97" s="38">
        <f t="shared" si="11"/>
        <v>0</v>
      </c>
      <c r="H97" s="248">
        <f t="shared" si="12"/>
        <v>0</v>
      </c>
      <c r="I97" s="5"/>
      <c r="J97" s="5"/>
      <c r="K97" s="5"/>
      <c r="L97" s="5"/>
      <c r="M97" s="5"/>
      <c r="N97" s="5"/>
      <c r="O97" s="5"/>
      <c r="P97" s="5"/>
      <c r="Q97" s="5"/>
    </row>
    <row r="98" spans="1:17" ht="18" hidden="1" customHeight="1" thickTop="1" thickBot="1">
      <c r="A98" s="571" t="s">
        <v>326</v>
      </c>
      <c r="B98" s="572"/>
      <c r="C98" s="572"/>
      <c r="D98" s="165"/>
      <c r="E98" s="165"/>
      <c r="F98" s="165"/>
      <c r="G98" s="166"/>
      <c r="H98" s="248">
        <f>SUM(H99:H101)</f>
        <v>0</v>
      </c>
      <c r="I98" s="5"/>
      <c r="J98" s="5"/>
      <c r="K98" s="5"/>
      <c r="L98" s="5"/>
      <c r="M98" s="5"/>
      <c r="N98" s="5"/>
      <c r="O98" s="5"/>
      <c r="P98" s="5"/>
      <c r="Q98" s="5"/>
    </row>
    <row r="99" spans="1:17" ht="28.05" hidden="1" customHeight="1" thickTop="1" thickBot="1">
      <c r="A99" s="12"/>
      <c r="B99" s="3" t="s">
        <v>28</v>
      </c>
      <c r="C99" s="13" t="s">
        <v>182</v>
      </c>
      <c r="D99" s="3" t="s">
        <v>11</v>
      </c>
      <c r="E99" s="3">
        <f>'CalculSpeeTile10+SpeeTherm15-30'!V22</f>
        <v>0</v>
      </c>
      <c r="F99" s="429">
        <v>179</v>
      </c>
      <c r="G99" s="33">
        <f t="shared" si="11"/>
        <v>0</v>
      </c>
      <c r="H99" s="248">
        <f t="shared" si="12"/>
        <v>0</v>
      </c>
      <c r="I99" s="5"/>
      <c r="J99" s="5"/>
      <c r="K99" s="5"/>
      <c r="L99" s="5"/>
      <c r="M99" s="5"/>
      <c r="N99" s="5"/>
      <c r="O99" s="5"/>
      <c r="P99" s="5"/>
      <c r="Q99" s="5"/>
    </row>
    <row r="100" spans="1:17" ht="18" hidden="1" customHeight="1" thickBot="1">
      <c r="A100" s="12"/>
      <c r="B100" s="3" t="s">
        <v>29</v>
      </c>
      <c r="C100" s="13" t="s">
        <v>30</v>
      </c>
      <c r="D100" s="3" t="s">
        <v>11</v>
      </c>
      <c r="E100" s="3">
        <f>'CalculSpeeTile10+SpeeTherm15-30'!S24</f>
        <v>0</v>
      </c>
      <c r="F100" s="429">
        <v>17</v>
      </c>
      <c r="G100" s="33">
        <f t="shared" si="11"/>
        <v>0</v>
      </c>
      <c r="H100" s="248">
        <f t="shared" si="12"/>
        <v>0</v>
      </c>
      <c r="I100" s="5"/>
      <c r="J100" s="5"/>
      <c r="K100" s="5"/>
      <c r="L100" s="5"/>
      <c r="M100" s="5"/>
      <c r="N100" s="5"/>
      <c r="O100" s="5"/>
      <c r="P100" s="5"/>
      <c r="Q100" s="5"/>
    </row>
    <row r="101" spans="1:17" ht="18" hidden="1" customHeight="1" thickBot="1">
      <c r="A101" s="161"/>
      <c r="B101" s="162" t="s">
        <v>31</v>
      </c>
      <c r="C101" s="163" t="s">
        <v>183</v>
      </c>
      <c r="D101" s="162" t="s">
        <v>11</v>
      </c>
      <c r="E101" s="162">
        <f>IF(OR('CalculSpeeTile10+SpeeTherm15-30'!U22=0),0,'CalculSpeeTile10+SpeeTherm15-30'!U22-1)</f>
        <v>0</v>
      </c>
      <c r="F101" s="430">
        <v>41</v>
      </c>
      <c r="G101" s="164">
        <f t="shared" si="11"/>
        <v>0</v>
      </c>
      <c r="H101" s="248">
        <f t="shared" si="12"/>
        <v>0</v>
      </c>
      <c r="I101" s="5"/>
      <c r="J101" s="5"/>
      <c r="K101" s="5"/>
      <c r="L101" s="5"/>
      <c r="M101" s="5"/>
      <c r="N101" s="5"/>
      <c r="O101" s="5"/>
      <c r="P101" s="5"/>
      <c r="Q101" s="5"/>
    </row>
    <row r="102" spans="1:17" ht="18" hidden="1" customHeight="1" thickTop="1" thickBot="1">
      <c r="A102" s="571" t="s">
        <v>32</v>
      </c>
      <c r="B102" s="572"/>
      <c r="C102" s="572"/>
      <c r="D102" s="165"/>
      <c r="E102" s="165"/>
      <c r="F102" s="165"/>
      <c r="G102" s="166"/>
      <c r="H102" s="248">
        <f>SUM(H103:H105)</f>
        <v>0</v>
      </c>
      <c r="I102" s="5"/>
      <c r="J102" s="5"/>
      <c r="K102" s="5"/>
      <c r="L102" s="5"/>
      <c r="M102" s="5"/>
      <c r="N102" s="5"/>
      <c r="O102" s="5"/>
      <c r="P102" s="5"/>
      <c r="Q102" s="5"/>
    </row>
    <row r="103" spans="1:17" ht="25.5" hidden="1" customHeight="1" thickTop="1" thickBot="1">
      <c r="A103" s="12"/>
      <c r="B103" s="3" t="s">
        <v>28</v>
      </c>
      <c r="C103" s="13" t="s">
        <v>182</v>
      </c>
      <c r="D103" s="3" t="s">
        <v>11</v>
      </c>
      <c r="E103" s="3">
        <f>'CalculSpeeTile10+SpeeTherm15-30'!AG22</f>
        <v>0</v>
      </c>
      <c r="F103" s="429">
        <v>179</v>
      </c>
      <c r="G103" s="33">
        <f t="shared" ref="G103:G105" si="13">E103*F103</f>
        <v>0</v>
      </c>
      <c r="H103" s="248">
        <f t="shared" ref="H103:H105" si="14">E103</f>
        <v>0</v>
      </c>
      <c r="I103" s="5"/>
      <c r="J103" s="5"/>
      <c r="K103" s="5"/>
      <c r="L103" s="5"/>
      <c r="M103" s="5"/>
      <c r="N103" s="5"/>
      <c r="O103" s="5"/>
      <c r="P103" s="5"/>
      <c r="Q103" s="5"/>
    </row>
    <row r="104" spans="1:17" ht="18" hidden="1" customHeight="1" thickBot="1">
      <c r="A104" s="12"/>
      <c r="B104" s="3" t="s">
        <v>29</v>
      </c>
      <c r="C104" s="13" t="s">
        <v>30</v>
      </c>
      <c r="D104" s="3" t="s">
        <v>11</v>
      </c>
      <c r="E104" s="3">
        <f>'CalculSpeeTile10+SpeeTherm15-30'!AD24</f>
        <v>0</v>
      </c>
      <c r="F104" s="429">
        <v>17</v>
      </c>
      <c r="G104" s="33">
        <f t="shared" si="13"/>
        <v>0</v>
      </c>
      <c r="H104" s="248">
        <f t="shared" si="14"/>
        <v>0</v>
      </c>
      <c r="I104" s="5"/>
      <c r="J104" s="5"/>
      <c r="K104" s="5"/>
      <c r="L104" s="5"/>
      <c r="M104" s="5"/>
      <c r="N104" s="5"/>
      <c r="O104" s="5"/>
      <c r="P104" s="5"/>
      <c r="Q104" s="5"/>
    </row>
    <row r="105" spans="1:17" ht="18" hidden="1" customHeight="1" thickBot="1">
      <c r="A105" s="161"/>
      <c r="B105" s="162" t="s">
        <v>31</v>
      </c>
      <c r="C105" s="163" t="s">
        <v>183</v>
      </c>
      <c r="D105" s="162" t="s">
        <v>11</v>
      </c>
      <c r="E105" s="162">
        <f>IF(OR('CalculSpeeTile10+SpeeTherm15-30'!AF22=0),0,'CalculSpeeTile10+SpeeTherm15-30'!AF22-1)</f>
        <v>0</v>
      </c>
      <c r="F105" s="430">
        <v>41</v>
      </c>
      <c r="G105" s="164">
        <f t="shared" si="13"/>
        <v>0</v>
      </c>
      <c r="H105" s="248">
        <f t="shared" si="14"/>
        <v>0</v>
      </c>
      <c r="I105" s="5"/>
      <c r="J105" s="5"/>
      <c r="K105" s="5"/>
      <c r="L105" s="5"/>
      <c r="M105" s="5"/>
      <c r="N105" s="5"/>
      <c r="O105" s="5"/>
      <c r="P105" s="5"/>
      <c r="Q105" s="5"/>
    </row>
    <row r="106" spans="1:17" ht="18" customHeight="1" thickTop="1" thickBot="1">
      <c r="A106" s="522" t="s">
        <v>25</v>
      </c>
      <c r="B106" s="523"/>
      <c r="C106" s="523"/>
      <c r="D106" s="523"/>
      <c r="E106" s="523"/>
      <c r="F106" s="523"/>
      <c r="G106" s="96">
        <f>SUM(G95:G105)</f>
        <v>0</v>
      </c>
      <c r="H106" s="251">
        <f>G106</f>
        <v>0</v>
      </c>
      <c r="I106" s="5"/>
      <c r="J106" s="5"/>
      <c r="K106" s="5"/>
      <c r="L106" s="5"/>
      <c r="M106" s="5"/>
      <c r="N106" s="5"/>
      <c r="O106" s="5"/>
      <c r="P106" s="5"/>
      <c r="Q106" s="5"/>
    </row>
    <row r="107" spans="1:17" ht="18" customHeight="1" thickTop="1" thickBot="1">
      <c r="A107" s="522" t="s">
        <v>157</v>
      </c>
      <c r="B107" s="523"/>
      <c r="C107" s="523"/>
      <c r="D107" s="523"/>
      <c r="E107" s="47">
        <v>0.05</v>
      </c>
      <c r="F107" s="42"/>
      <c r="G107" s="97">
        <f>G106*(1-E107)</f>
        <v>0</v>
      </c>
      <c r="H107" s="251">
        <f t="shared" ref="H107:H108" si="15">G107</f>
        <v>0</v>
      </c>
      <c r="I107" s="5"/>
      <c r="J107" s="5"/>
      <c r="K107" s="5"/>
      <c r="L107" s="5"/>
      <c r="M107" s="5"/>
      <c r="N107" s="5"/>
      <c r="O107" s="5"/>
      <c r="P107" s="5"/>
      <c r="Q107" s="5"/>
    </row>
    <row r="108" spans="1:17" ht="18" customHeight="1" thickTop="1" thickBot="1">
      <c r="A108" s="547" t="s">
        <v>143</v>
      </c>
      <c r="B108" s="548"/>
      <c r="C108" s="548"/>
      <c r="D108" s="548"/>
      <c r="E108" s="548"/>
      <c r="F108" s="548"/>
      <c r="G108" s="99">
        <f>G107*1.21</f>
        <v>0</v>
      </c>
      <c r="H108" s="251">
        <f t="shared" si="15"/>
        <v>0</v>
      </c>
      <c r="I108" s="5"/>
      <c r="J108" s="5"/>
      <c r="K108" s="5"/>
      <c r="L108" s="5"/>
      <c r="M108" s="5"/>
      <c r="N108" s="5"/>
      <c r="O108" s="5"/>
      <c r="P108" s="5"/>
      <c r="Q108" s="5"/>
    </row>
    <row r="109" spans="1:17" ht="18" customHeight="1" thickTop="1">
      <c r="A109" s="53"/>
      <c r="B109" s="53"/>
      <c r="C109" s="53"/>
      <c r="D109" s="53"/>
      <c r="E109" s="53"/>
      <c r="F109" s="53"/>
      <c r="G109" s="70"/>
      <c r="H109" s="251"/>
      <c r="I109" s="5"/>
      <c r="J109" s="5"/>
      <c r="K109" s="5"/>
      <c r="L109" s="5"/>
      <c r="M109" s="5"/>
      <c r="N109" s="5"/>
      <c r="O109" s="5"/>
      <c r="P109" s="5"/>
      <c r="Q109" s="5"/>
    </row>
    <row r="110" spans="1:17" ht="18.75" customHeight="1">
      <c r="A110" s="14"/>
      <c r="B110" s="15"/>
      <c r="C110" s="15"/>
      <c r="D110" s="15"/>
      <c r="E110" s="15"/>
      <c r="F110" s="15"/>
      <c r="G110" s="15"/>
      <c r="H110" s="251">
        <f>G128</f>
        <v>0</v>
      </c>
      <c r="I110" s="5"/>
      <c r="J110" s="5"/>
      <c r="K110" s="5"/>
      <c r="L110" s="5"/>
      <c r="M110" s="5"/>
      <c r="N110" s="5"/>
      <c r="O110" s="5"/>
      <c r="P110" s="5"/>
      <c r="Q110" s="5"/>
    </row>
    <row r="111" spans="1:17" ht="18" customHeight="1">
      <c r="A111" s="593" t="s">
        <v>178</v>
      </c>
      <c r="B111" s="593"/>
      <c r="C111" s="593"/>
      <c r="D111" s="593"/>
      <c r="E111" s="593"/>
      <c r="F111" s="593"/>
      <c r="G111" s="593"/>
      <c r="H111" s="251">
        <f>G128</f>
        <v>0</v>
      </c>
      <c r="I111" s="5"/>
      <c r="J111" s="5"/>
      <c r="K111" s="5"/>
      <c r="L111" s="5"/>
      <c r="M111" s="5"/>
      <c r="N111" s="5"/>
      <c r="O111" s="5"/>
      <c r="P111" s="5"/>
      <c r="Q111" s="5"/>
    </row>
    <row r="112" spans="1:17" ht="16.05" customHeight="1">
      <c r="A112" s="544"/>
      <c r="B112" s="544"/>
      <c r="C112" s="544"/>
      <c r="D112" s="544"/>
      <c r="E112" s="544"/>
      <c r="F112" s="544"/>
      <c r="G112" s="544"/>
      <c r="H112" s="251">
        <f>G128</f>
        <v>0</v>
      </c>
      <c r="I112" s="5"/>
      <c r="J112" s="5"/>
      <c r="K112" s="5"/>
      <c r="L112" s="5"/>
      <c r="M112" s="5"/>
      <c r="N112" s="5"/>
      <c r="O112" s="5"/>
      <c r="P112" s="5"/>
      <c r="Q112" s="5"/>
    </row>
    <row r="113" spans="1:17" ht="19.5" customHeight="1" thickBot="1">
      <c r="A113" s="16"/>
      <c r="B113" s="15"/>
      <c r="C113" s="15"/>
      <c r="D113" s="15"/>
      <c r="E113" s="15"/>
      <c r="F113" s="15"/>
      <c r="G113" s="15"/>
      <c r="H113" s="251">
        <f>G128</f>
        <v>0</v>
      </c>
      <c r="I113" s="5"/>
      <c r="J113" s="5"/>
      <c r="K113" s="5"/>
      <c r="L113" s="5"/>
      <c r="M113" s="5"/>
      <c r="N113" s="5"/>
      <c r="O113" s="5"/>
      <c r="P113" s="5"/>
      <c r="Q113" s="5"/>
    </row>
    <row r="114" spans="1:17" ht="18" customHeight="1" thickTop="1">
      <c r="A114" s="6" t="s">
        <v>1</v>
      </c>
      <c r="B114" s="518" t="s">
        <v>3</v>
      </c>
      <c r="C114" s="518" t="s">
        <v>4</v>
      </c>
      <c r="D114" s="518" t="s">
        <v>5</v>
      </c>
      <c r="E114" s="518" t="s">
        <v>6</v>
      </c>
      <c r="F114" s="7" t="s">
        <v>7</v>
      </c>
      <c r="G114" s="8" t="s">
        <v>9</v>
      </c>
      <c r="H114" s="251">
        <f>G128</f>
        <v>0</v>
      </c>
      <c r="I114" s="5"/>
      <c r="J114" s="5"/>
      <c r="K114" s="5"/>
      <c r="L114" s="5"/>
      <c r="M114" s="5"/>
      <c r="N114" s="5"/>
      <c r="O114" s="5"/>
      <c r="P114" s="5"/>
      <c r="Q114" s="5"/>
    </row>
    <row r="115" spans="1:17" ht="24" customHeight="1" thickBot="1">
      <c r="A115" s="17" t="s">
        <v>2</v>
      </c>
      <c r="B115" s="519"/>
      <c r="C115" s="519"/>
      <c r="D115" s="519"/>
      <c r="E115" s="519"/>
      <c r="F115" s="18" t="s">
        <v>8</v>
      </c>
      <c r="G115" s="19" t="s">
        <v>8</v>
      </c>
      <c r="H115" s="251">
        <f>G128</f>
        <v>0</v>
      </c>
      <c r="I115" s="5"/>
      <c r="J115" s="5"/>
      <c r="K115" s="5"/>
      <c r="L115" s="5"/>
      <c r="M115" s="5"/>
      <c r="N115" s="5"/>
      <c r="O115" s="5"/>
      <c r="P115" s="5"/>
      <c r="Q115" s="5"/>
    </row>
    <row r="116" spans="1:17" ht="18" customHeight="1" thickTop="1" thickBot="1">
      <c r="A116" s="571" t="s">
        <v>27</v>
      </c>
      <c r="B116" s="572"/>
      <c r="C116" s="572"/>
      <c r="D116" s="165"/>
      <c r="E116" s="165"/>
      <c r="F116" s="165"/>
      <c r="G116" s="153"/>
      <c r="H116" s="248">
        <f>SUM(H117:H119)</f>
        <v>0</v>
      </c>
      <c r="I116" s="5"/>
      <c r="J116" s="5"/>
      <c r="K116" s="5"/>
      <c r="L116" s="5"/>
      <c r="M116" s="5"/>
      <c r="N116" s="5"/>
      <c r="O116" s="5"/>
      <c r="P116" s="5"/>
      <c r="Q116" s="5"/>
    </row>
    <row r="117" spans="1:17" ht="28.05" customHeight="1" thickTop="1" thickBot="1">
      <c r="A117" s="12"/>
      <c r="B117" s="3" t="s">
        <v>376</v>
      </c>
      <c r="C117" s="13" t="s">
        <v>379</v>
      </c>
      <c r="D117" s="3" t="s">
        <v>11</v>
      </c>
      <c r="E117" s="3">
        <f>'CalculSpeeTile10+SpeeTherm15-30'!K22</f>
        <v>0</v>
      </c>
      <c r="F117" s="150">
        <v>229</v>
      </c>
      <c r="G117" s="33">
        <f>E117*F117</f>
        <v>0</v>
      </c>
      <c r="H117" s="248">
        <f>E117</f>
        <v>0</v>
      </c>
      <c r="I117" s="5"/>
      <c r="J117" s="5"/>
      <c r="K117" s="5"/>
      <c r="L117" s="5"/>
      <c r="M117" s="5"/>
      <c r="N117" s="5"/>
      <c r="O117" s="5"/>
      <c r="P117" s="5"/>
      <c r="Q117" s="5"/>
    </row>
    <row r="118" spans="1:17" ht="18" customHeight="1" thickBot="1">
      <c r="A118" s="12"/>
      <c r="B118" s="3" t="s">
        <v>29</v>
      </c>
      <c r="C118" s="13" t="s">
        <v>30</v>
      </c>
      <c r="D118" s="3" t="s">
        <v>11</v>
      </c>
      <c r="E118" s="3">
        <f>'CalculSpeeTile10+SpeeTherm15-30'!H24</f>
        <v>0</v>
      </c>
      <c r="F118" s="150">
        <v>17</v>
      </c>
      <c r="G118" s="33">
        <f t="shared" ref="G118:G127" si="16">E118*F118</f>
        <v>0</v>
      </c>
      <c r="H118" s="248">
        <f t="shared" ref="H118:H119" si="17">E118</f>
        <v>0</v>
      </c>
      <c r="I118" s="5"/>
      <c r="J118" s="5"/>
      <c r="K118" s="5"/>
      <c r="L118" s="5"/>
      <c r="M118" s="5"/>
      <c r="N118" s="5"/>
      <c r="O118" s="5"/>
      <c r="P118" s="5"/>
      <c r="Q118" s="5"/>
    </row>
    <row r="119" spans="1:17" ht="18" customHeight="1" thickBot="1">
      <c r="A119" s="35"/>
      <c r="B119" s="40" t="s">
        <v>377</v>
      </c>
      <c r="C119" s="37" t="s">
        <v>378</v>
      </c>
      <c r="D119" s="40" t="s">
        <v>11</v>
      </c>
      <c r="E119" s="40">
        <f>'CalculSpeeTile10+SpeeTherm15-30'!J22</f>
        <v>0</v>
      </c>
      <c r="F119" s="432">
        <v>63</v>
      </c>
      <c r="G119" s="38">
        <f t="shared" si="16"/>
        <v>0</v>
      </c>
      <c r="H119" s="248">
        <f t="shared" si="17"/>
        <v>0</v>
      </c>
      <c r="I119" s="5"/>
      <c r="J119" s="5"/>
      <c r="K119" s="5"/>
      <c r="L119" s="5"/>
      <c r="M119" s="5"/>
      <c r="N119" s="5"/>
      <c r="O119" s="5"/>
      <c r="P119" s="5"/>
      <c r="Q119" s="5"/>
    </row>
    <row r="120" spans="1:17" ht="18" hidden="1" customHeight="1" thickTop="1" thickBot="1">
      <c r="A120" s="571" t="s">
        <v>326</v>
      </c>
      <c r="B120" s="572"/>
      <c r="C120" s="572"/>
      <c r="D120" s="165"/>
      <c r="E120" s="165"/>
      <c r="F120" s="165"/>
      <c r="G120" s="166"/>
      <c r="H120" s="248">
        <f>SUM(H121:H123)</f>
        <v>0</v>
      </c>
      <c r="I120" s="5"/>
      <c r="J120" s="5"/>
      <c r="K120" s="5"/>
      <c r="L120" s="5"/>
      <c r="M120" s="5"/>
      <c r="N120" s="5"/>
      <c r="O120" s="5"/>
      <c r="P120" s="5"/>
      <c r="Q120" s="5"/>
    </row>
    <row r="121" spans="1:17" ht="28.05" hidden="1" customHeight="1" thickTop="1" thickBot="1">
      <c r="A121" s="12"/>
      <c r="B121" s="3" t="s">
        <v>376</v>
      </c>
      <c r="C121" s="13" t="s">
        <v>379</v>
      </c>
      <c r="D121" s="3" t="s">
        <v>11</v>
      </c>
      <c r="E121" s="3">
        <f>'CalculSpeeTile10+SpeeTherm15-30'!V22</f>
        <v>0</v>
      </c>
      <c r="F121" s="150">
        <v>229</v>
      </c>
      <c r="G121" s="33">
        <f t="shared" ref="G121:G123" si="18">E121*F121</f>
        <v>0</v>
      </c>
      <c r="H121" s="248">
        <f t="shared" ref="H121:H123" si="19">E121</f>
        <v>0</v>
      </c>
      <c r="I121" s="5"/>
      <c r="J121" s="5"/>
      <c r="K121" s="5"/>
      <c r="L121" s="5"/>
      <c r="M121" s="5"/>
      <c r="N121" s="5"/>
      <c r="O121" s="5"/>
      <c r="P121" s="5"/>
      <c r="Q121" s="5"/>
    </row>
    <row r="122" spans="1:17" ht="18" hidden="1" customHeight="1" thickBot="1">
      <c r="A122" s="12"/>
      <c r="B122" s="3" t="s">
        <v>29</v>
      </c>
      <c r="C122" s="13" t="s">
        <v>30</v>
      </c>
      <c r="D122" s="3" t="s">
        <v>11</v>
      </c>
      <c r="E122" s="3">
        <f>'CalculSpeeTile10+SpeeTherm15-30'!S24</f>
        <v>0</v>
      </c>
      <c r="F122" s="150">
        <v>17</v>
      </c>
      <c r="G122" s="33">
        <f t="shared" si="18"/>
        <v>0</v>
      </c>
      <c r="H122" s="248">
        <f t="shared" si="19"/>
        <v>0</v>
      </c>
      <c r="I122" s="5"/>
      <c r="J122" s="5"/>
      <c r="K122" s="5"/>
      <c r="L122" s="5"/>
      <c r="M122" s="5"/>
      <c r="N122" s="5"/>
      <c r="O122" s="5"/>
      <c r="P122" s="5"/>
      <c r="Q122" s="5"/>
    </row>
    <row r="123" spans="1:17" ht="18" hidden="1" customHeight="1" thickBot="1">
      <c r="A123" s="161"/>
      <c r="B123" s="162" t="s">
        <v>377</v>
      </c>
      <c r="C123" s="163" t="s">
        <v>378</v>
      </c>
      <c r="D123" s="162" t="s">
        <v>11</v>
      </c>
      <c r="E123" s="162">
        <f>'CalculSpeeTile10+SpeeTherm15-30'!U22</f>
        <v>0</v>
      </c>
      <c r="F123" s="432">
        <v>63</v>
      </c>
      <c r="G123" s="164">
        <f t="shared" si="18"/>
        <v>0</v>
      </c>
      <c r="H123" s="248">
        <f t="shared" si="19"/>
        <v>0</v>
      </c>
      <c r="I123" s="5"/>
      <c r="J123" s="5"/>
      <c r="K123" s="5"/>
      <c r="L123" s="5"/>
      <c r="M123" s="5"/>
      <c r="N123" s="5"/>
      <c r="O123" s="5"/>
      <c r="P123" s="5"/>
      <c r="Q123" s="5"/>
    </row>
    <row r="124" spans="1:17" ht="18" hidden="1" customHeight="1" thickTop="1" thickBot="1">
      <c r="A124" s="571" t="s">
        <v>32</v>
      </c>
      <c r="B124" s="572"/>
      <c r="C124" s="572"/>
      <c r="D124" s="165"/>
      <c r="E124" s="165"/>
      <c r="F124" s="433"/>
      <c r="G124" s="166"/>
      <c r="H124" s="248">
        <f>SUM(H125:H127)</f>
        <v>0</v>
      </c>
    </row>
    <row r="125" spans="1:17" ht="28.05" hidden="1" customHeight="1" thickTop="1" thickBot="1">
      <c r="A125" s="12"/>
      <c r="B125" s="3" t="s">
        <v>376</v>
      </c>
      <c r="C125" s="13" t="s">
        <v>379</v>
      </c>
      <c r="D125" s="3" t="s">
        <v>11</v>
      </c>
      <c r="E125" s="3">
        <f>'CalculSpeeTile10+SpeeTherm15-30'!AG22</f>
        <v>0</v>
      </c>
      <c r="F125" s="150">
        <v>229</v>
      </c>
      <c r="G125" s="33">
        <f t="shared" si="16"/>
        <v>0</v>
      </c>
      <c r="H125" s="248">
        <f>E125</f>
        <v>0</v>
      </c>
    </row>
    <row r="126" spans="1:17" ht="18" hidden="1" customHeight="1" thickBot="1">
      <c r="A126" s="12"/>
      <c r="B126" s="3" t="s">
        <v>29</v>
      </c>
      <c r="C126" s="13" t="s">
        <v>30</v>
      </c>
      <c r="D126" s="3" t="s">
        <v>11</v>
      </c>
      <c r="E126" s="3">
        <f>'CalculSpeeTile10+SpeeTherm15-30'!AD24</f>
        <v>0</v>
      </c>
      <c r="F126" s="150">
        <v>17</v>
      </c>
      <c r="G126" s="33">
        <f t="shared" si="16"/>
        <v>0</v>
      </c>
      <c r="H126" s="248">
        <f t="shared" ref="H126:H127" si="20">E126</f>
        <v>0</v>
      </c>
    </row>
    <row r="127" spans="1:17" ht="18" hidden="1" customHeight="1" thickBot="1">
      <c r="A127" s="35"/>
      <c r="B127" s="40" t="s">
        <v>377</v>
      </c>
      <c r="C127" s="37" t="s">
        <v>378</v>
      </c>
      <c r="D127" s="40" t="s">
        <v>11</v>
      </c>
      <c r="E127" s="40">
        <f>'CalculSpeeTile10+SpeeTherm15-30'!AF22</f>
        <v>0</v>
      </c>
      <c r="F127" s="432">
        <v>63</v>
      </c>
      <c r="G127" s="38">
        <f t="shared" si="16"/>
        <v>0</v>
      </c>
      <c r="H127" s="248">
        <f t="shared" si="20"/>
        <v>0</v>
      </c>
    </row>
    <row r="128" spans="1:17" ht="18" customHeight="1" thickTop="1" thickBot="1">
      <c r="A128" s="522" t="s">
        <v>25</v>
      </c>
      <c r="B128" s="523"/>
      <c r="C128" s="523"/>
      <c r="D128" s="523"/>
      <c r="E128" s="523"/>
      <c r="F128" s="577"/>
      <c r="G128" s="96">
        <f>SUM(G117:G127)</f>
        <v>0</v>
      </c>
      <c r="H128" s="251">
        <f>G128</f>
        <v>0</v>
      </c>
    </row>
    <row r="129" spans="1:26" ht="18" customHeight="1" thickTop="1" thickBot="1">
      <c r="A129" s="522" t="s">
        <v>157</v>
      </c>
      <c r="B129" s="523"/>
      <c r="C129" s="523"/>
      <c r="D129" s="523"/>
      <c r="E129" s="47">
        <v>0.05</v>
      </c>
      <c r="F129" s="42"/>
      <c r="G129" s="97">
        <f>G128*(1-E129)</f>
        <v>0</v>
      </c>
      <c r="H129" s="251">
        <f t="shared" ref="H129:H130" si="21">G129</f>
        <v>0</v>
      </c>
    </row>
    <row r="130" spans="1:26" ht="18" customHeight="1" thickTop="1" thickBot="1">
      <c r="A130" s="522" t="s">
        <v>143</v>
      </c>
      <c r="B130" s="523"/>
      <c r="C130" s="523"/>
      <c r="D130" s="523"/>
      <c r="E130" s="523"/>
      <c r="F130" s="577"/>
      <c r="G130" s="98">
        <f>G129*1.21</f>
        <v>0</v>
      </c>
      <c r="H130" s="251">
        <f t="shared" si="21"/>
        <v>0</v>
      </c>
    </row>
    <row r="131" spans="1:26" ht="18.75" customHeight="1" thickTop="1">
      <c r="A131" s="53"/>
      <c r="B131" s="53"/>
      <c r="C131" s="53"/>
      <c r="D131" s="53"/>
      <c r="E131" s="53"/>
      <c r="F131" s="53"/>
      <c r="G131" s="70"/>
      <c r="H131" s="251"/>
    </row>
    <row r="132" spans="1:26" ht="18" customHeight="1">
      <c r="I132" s="576"/>
      <c r="J132" s="81"/>
      <c r="K132" s="82"/>
      <c r="L132" s="82"/>
      <c r="M132" s="86"/>
      <c r="N132" s="86"/>
      <c r="O132" s="552"/>
      <c r="P132" s="69"/>
      <c r="Q132" s="69"/>
      <c r="R132" s="32"/>
      <c r="S132" s="92"/>
      <c r="T132" s="69"/>
      <c r="U132" s="69"/>
      <c r="V132" s="90"/>
      <c r="W132" s="86"/>
      <c r="X132" s="91"/>
      <c r="Y132" s="91"/>
      <c r="Z132" s="69"/>
    </row>
    <row r="133" spans="1:26" ht="18.75" customHeight="1">
      <c r="A133" s="520" t="s">
        <v>335</v>
      </c>
      <c r="B133" s="521"/>
      <c r="C133" s="521"/>
      <c r="D133" s="521"/>
      <c r="E133" s="521"/>
      <c r="F133" s="521"/>
      <c r="G133" s="521"/>
      <c r="H133" s="251">
        <f>SUM(H135:H139)</f>
        <v>0</v>
      </c>
      <c r="I133" s="576"/>
      <c r="O133" s="552"/>
    </row>
    <row r="134" spans="1:26" ht="15" thickBot="1">
      <c r="A134" s="53"/>
      <c r="B134" s="53"/>
      <c r="C134" s="53"/>
      <c r="D134" s="53"/>
      <c r="E134" s="53"/>
      <c r="F134" s="53"/>
      <c r="G134" s="70"/>
      <c r="H134" s="251"/>
      <c r="I134" s="576"/>
      <c r="O134" s="552"/>
    </row>
    <row r="135" spans="1:26" ht="18" customHeight="1" thickTop="1">
      <c r="A135" s="6" t="s">
        <v>1</v>
      </c>
      <c r="B135" s="518"/>
      <c r="C135" s="518" t="s">
        <v>4</v>
      </c>
      <c r="D135" s="518" t="s">
        <v>5</v>
      </c>
      <c r="E135" s="518" t="s">
        <v>6</v>
      </c>
      <c r="F135" s="7" t="s">
        <v>7</v>
      </c>
      <c r="G135" s="8" t="s">
        <v>9</v>
      </c>
      <c r="H135" s="251">
        <f>G139</f>
        <v>0</v>
      </c>
      <c r="I135" s="576"/>
      <c r="O135" s="552"/>
    </row>
    <row r="136" spans="1:26" ht="18" customHeight="1" thickBot="1">
      <c r="A136" s="9" t="s">
        <v>2</v>
      </c>
      <c r="B136" s="519"/>
      <c r="C136" s="519"/>
      <c r="D136" s="519"/>
      <c r="E136" s="519"/>
      <c r="F136" s="10" t="s">
        <v>330</v>
      </c>
      <c r="G136" s="11" t="s">
        <v>330</v>
      </c>
      <c r="H136" s="251">
        <f>G139</f>
        <v>0</v>
      </c>
      <c r="I136" s="576"/>
      <c r="O136" s="552"/>
    </row>
    <row r="137" spans="1:26" ht="18" customHeight="1" thickTop="1" thickBot="1">
      <c r="A137" s="12"/>
      <c r="B137" s="3"/>
      <c r="C137" s="13" t="s">
        <v>329</v>
      </c>
      <c r="D137" s="3" t="s">
        <v>92</v>
      </c>
      <c r="E137" s="212">
        <f>'CalculSpeeTile10+SpeeTherm15-30'!B20+'CalculSpeeTile10+SpeeTherm15-30'!G20+'CalculSpeeTile10+SpeeTherm15-30'!M20+'CalculSpeeTile10+SpeeTherm15-30'!R20+'CalculSpeeTile10+SpeeTherm15-30'!X20+'CalculSpeeTile10+SpeeTherm15-30'!AC20</f>
        <v>0</v>
      </c>
      <c r="F137" s="150">
        <v>13</v>
      </c>
      <c r="G137" s="33">
        <f>E137*F137</f>
        <v>0</v>
      </c>
      <c r="H137" s="251">
        <f>E137</f>
        <v>0</v>
      </c>
      <c r="I137" s="576"/>
      <c r="O137" s="552"/>
    </row>
    <row r="138" spans="1:26" ht="18" customHeight="1" thickBot="1">
      <c r="A138" s="434"/>
      <c r="B138" s="30"/>
      <c r="C138" s="31" t="s">
        <v>332</v>
      </c>
      <c r="D138" s="30" t="s">
        <v>331</v>
      </c>
      <c r="E138" s="160">
        <f>IF(AND(E95=1, E99=1, E103=1), 3,
IF(OR(AND(E95=1, E99=1), AND(E95=1, E103=1), AND(E99=1, E103=1)), 2,
IF(OR(E95=1, E99=1, E103=1), 1, 0)))</f>
        <v>0</v>
      </c>
      <c r="F138" s="150">
        <v>170</v>
      </c>
      <c r="G138" s="238">
        <f t="shared" ref="G138" si="22">E138*F138</f>
        <v>0</v>
      </c>
      <c r="H138" s="251">
        <f t="shared" ref="H138:H146" si="23">E138</f>
        <v>0</v>
      </c>
      <c r="I138" s="576"/>
      <c r="O138" s="552"/>
    </row>
    <row r="139" spans="1:26" ht="18" customHeight="1" thickTop="1" thickBot="1">
      <c r="A139" s="522" t="s">
        <v>334</v>
      </c>
      <c r="B139" s="523"/>
      <c r="C139" s="523"/>
      <c r="D139" s="523"/>
      <c r="E139" s="523"/>
      <c r="F139" s="523"/>
      <c r="G139" s="98">
        <f>SUM(G137:G138)</f>
        <v>0</v>
      </c>
      <c r="H139" s="251">
        <f>G139</f>
        <v>0</v>
      </c>
      <c r="I139" s="576"/>
      <c r="O139" s="552"/>
    </row>
    <row r="140" spans="1:26" ht="18" customHeight="1" thickTop="1">
      <c r="A140" s="53"/>
      <c r="B140" s="53"/>
      <c r="C140" s="53"/>
      <c r="D140" s="53"/>
      <c r="E140" s="53"/>
      <c r="F140" s="53"/>
      <c r="G140" s="70"/>
      <c r="H140" s="251">
        <f>SUM(H135:H139)</f>
        <v>0</v>
      </c>
      <c r="I140" s="576"/>
      <c r="J140" s="79"/>
      <c r="K140" s="80"/>
      <c r="L140" s="80"/>
      <c r="M140" s="78"/>
      <c r="N140" s="78"/>
      <c r="O140" s="552"/>
      <c r="P140" s="49"/>
      <c r="Q140" s="92"/>
      <c r="R140" s="92"/>
      <c r="S140" s="92"/>
      <c r="T140" s="69"/>
      <c r="U140" s="69"/>
      <c r="V140" s="93"/>
      <c r="W140" s="88"/>
      <c r="X140" s="89"/>
      <c r="Y140" s="89"/>
      <c r="Z140" s="69"/>
    </row>
    <row r="141" spans="1:26" ht="18.75" customHeight="1">
      <c r="A141" s="520" t="s">
        <v>336</v>
      </c>
      <c r="B141" s="521"/>
      <c r="C141" s="521"/>
      <c r="D141" s="521"/>
      <c r="E141" s="521"/>
      <c r="F141" s="521"/>
      <c r="G141" s="521"/>
      <c r="H141" s="251">
        <f>SUM(H143:H147)</f>
        <v>0</v>
      </c>
      <c r="I141" s="576"/>
      <c r="O141" s="552"/>
    </row>
    <row r="142" spans="1:26" ht="15" thickBot="1">
      <c r="A142" s="53"/>
      <c r="B142" s="53"/>
      <c r="C142" s="53"/>
      <c r="D142" s="53"/>
      <c r="E142" s="53"/>
      <c r="F142" s="53"/>
      <c r="G142" s="70"/>
      <c r="H142" s="251">
        <f>G147</f>
        <v>0</v>
      </c>
      <c r="I142" s="576"/>
      <c r="O142" s="552"/>
    </row>
    <row r="143" spans="1:26" ht="18" customHeight="1" thickTop="1">
      <c r="A143" s="6" t="s">
        <v>1</v>
      </c>
      <c r="B143" s="518"/>
      <c r="C143" s="518" t="s">
        <v>4</v>
      </c>
      <c r="D143" s="518" t="s">
        <v>5</v>
      </c>
      <c r="E143" s="518" t="s">
        <v>6</v>
      </c>
      <c r="F143" s="7" t="s">
        <v>7</v>
      </c>
      <c r="G143" s="8" t="s">
        <v>9</v>
      </c>
      <c r="H143" s="251">
        <f>G147</f>
        <v>0</v>
      </c>
      <c r="I143" s="576"/>
      <c r="O143" s="552"/>
    </row>
    <row r="144" spans="1:26" ht="18" customHeight="1" thickBot="1">
      <c r="A144" s="9" t="s">
        <v>2</v>
      </c>
      <c r="B144" s="519"/>
      <c r="C144" s="519"/>
      <c r="D144" s="519"/>
      <c r="E144" s="519"/>
      <c r="F144" s="10" t="s">
        <v>330</v>
      </c>
      <c r="G144" s="11" t="s">
        <v>330</v>
      </c>
      <c r="H144" s="251">
        <f>G147</f>
        <v>0</v>
      </c>
      <c r="I144" s="576"/>
      <c r="O144" s="552"/>
    </row>
    <row r="145" spans="1:21" ht="18" customHeight="1" thickTop="1" thickBot="1">
      <c r="A145" s="12"/>
      <c r="B145" s="3"/>
      <c r="C145" s="13" t="s">
        <v>329</v>
      </c>
      <c r="D145" s="3" t="s">
        <v>92</v>
      </c>
      <c r="E145" s="212">
        <f>'CalculSpeeTile10+SpeeTherm15-30'!B20+'CalculSpeeTile10+SpeeTherm15-30'!G20+'CalculSpeeTile10+SpeeTherm15-30'!M20+'CalculSpeeTile10+SpeeTherm15-30'!R20+'CalculSpeeTile10+SpeeTherm15-30'!X20+'CalculSpeeTile10+SpeeTherm15-30'!AC20</f>
        <v>0</v>
      </c>
      <c r="F145" s="150">
        <v>13</v>
      </c>
      <c r="G145" s="33">
        <f>E145*F145</f>
        <v>0</v>
      </c>
      <c r="H145" s="251">
        <f t="shared" si="23"/>
        <v>0</v>
      </c>
      <c r="I145" s="576"/>
      <c r="O145" s="552"/>
    </row>
    <row r="146" spans="1:21" ht="18" customHeight="1" thickBot="1">
      <c r="A146" s="435"/>
      <c r="B146" s="436"/>
      <c r="C146" s="31" t="s">
        <v>333</v>
      </c>
      <c r="D146" s="30" t="s">
        <v>331</v>
      </c>
      <c r="E146" s="169">
        <f>IF(AND(E117=1, E121=1, E125=1), 3,
IF(OR(AND(E117=1, E121=1), AND(E117=1, E125=1), AND(E121=1, E125=1)), 2,
IF(OR(E117=1, E121=1, E125=1), 1, 0)))</f>
        <v>0</v>
      </c>
      <c r="F146" s="432">
        <v>110</v>
      </c>
      <c r="G146" s="437">
        <f t="shared" ref="G146" si="24">E146*F146</f>
        <v>0</v>
      </c>
      <c r="H146" s="251">
        <f t="shared" si="23"/>
        <v>0</v>
      </c>
      <c r="I146" s="576"/>
      <c r="O146" s="552"/>
    </row>
    <row r="147" spans="1:21" ht="18" customHeight="1" thickTop="1" thickBot="1">
      <c r="A147" s="522" t="s">
        <v>334</v>
      </c>
      <c r="B147" s="523"/>
      <c r="C147" s="523"/>
      <c r="D147" s="523"/>
      <c r="E147" s="523"/>
      <c r="F147" s="523"/>
      <c r="G147" s="98">
        <f>SUM(G145:G146)</f>
        <v>0</v>
      </c>
      <c r="H147" s="251">
        <f>G147</f>
        <v>0</v>
      </c>
      <c r="I147" s="576"/>
      <c r="O147" s="552"/>
    </row>
    <row r="148" spans="1:21" ht="15" thickTop="1">
      <c r="I148" s="576"/>
      <c r="O148" s="552"/>
    </row>
    <row r="149" spans="1:21" ht="18" customHeight="1">
      <c r="A149" s="544" t="s">
        <v>169</v>
      </c>
      <c r="B149" s="544"/>
      <c r="C149" s="544"/>
      <c r="D149" s="544"/>
      <c r="E149" s="544"/>
      <c r="F149" s="544"/>
      <c r="G149" s="544"/>
      <c r="I149" s="576"/>
      <c r="J149" s="81"/>
      <c r="K149" s="82"/>
      <c r="L149" s="80"/>
      <c r="M149" s="78"/>
      <c r="N149" s="78"/>
      <c r="O149" s="552"/>
      <c r="P149" s="49"/>
      <c r="Q149" s="50"/>
      <c r="R149" s="50"/>
      <c r="S149" s="50"/>
    </row>
    <row r="150" spans="1:21" ht="18" customHeight="1">
      <c r="A150" s="559" t="s">
        <v>170</v>
      </c>
      <c r="B150" s="559"/>
      <c r="C150" s="559"/>
      <c r="D150" s="559"/>
      <c r="E150" s="559"/>
      <c r="F150" s="559"/>
      <c r="G150" s="559"/>
      <c r="I150" s="576"/>
      <c r="J150" s="79"/>
      <c r="K150" s="80"/>
      <c r="L150" s="80"/>
      <c r="M150" s="78"/>
      <c r="N150" s="78"/>
      <c r="O150" s="552"/>
      <c r="P150" s="49"/>
      <c r="Q150" s="50"/>
      <c r="R150" s="50"/>
      <c r="S150" s="50"/>
    </row>
    <row r="151" spans="1:21" ht="27" customHeight="1">
      <c r="A151" s="559" t="s">
        <v>177</v>
      </c>
      <c r="B151" s="559"/>
      <c r="C151" s="559"/>
      <c r="D151" s="559"/>
      <c r="E151" s="559"/>
      <c r="F151" s="559"/>
      <c r="G151" s="559"/>
      <c r="I151" s="576"/>
      <c r="J151" s="79"/>
      <c r="K151" s="80"/>
      <c r="L151" s="80"/>
      <c r="M151" s="78"/>
      <c r="N151" s="78"/>
      <c r="O151" s="552"/>
      <c r="P151" s="49"/>
      <c r="Q151" s="50"/>
      <c r="R151" s="50"/>
      <c r="S151" s="50"/>
    </row>
    <row r="152" spans="1:21" ht="32.25" customHeight="1">
      <c r="A152" s="559" t="s">
        <v>328</v>
      </c>
      <c r="B152" s="559"/>
      <c r="C152" s="559"/>
      <c r="D152" s="559"/>
      <c r="E152" s="559"/>
      <c r="F152" s="559"/>
      <c r="G152" s="559"/>
      <c r="I152" s="576"/>
      <c r="J152" s="81"/>
      <c r="K152" s="82"/>
      <c r="L152" s="83"/>
      <c r="M152" s="84"/>
      <c r="N152" s="84"/>
      <c r="O152" s="552"/>
      <c r="P152" s="49"/>
      <c r="Q152" s="50"/>
      <c r="R152" s="50"/>
      <c r="S152" s="50"/>
    </row>
    <row r="153" spans="1:21" ht="30.75" customHeight="1">
      <c r="A153" s="559" t="s">
        <v>174</v>
      </c>
      <c r="B153" s="559"/>
      <c r="C153" s="559"/>
      <c r="D153" s="559"/>
      <c r="E153" s="559"/>
      <c r="F153" s="559"/>
      <c r="G153" s="559"/>
      <c r="I153" s="576"/>
      <c r="J153" s="79"/>
      <c r="K153" s="80"/>
      <c r="L153" s="80"/>
      <c r="M153" s="78"/>
      <c r="N153" s="78"/>
      <c r="O153" s="552"/>
      <c r="P153" s="49"/>
      <c r="Q153" s="50"/>
      <c r="R153" s="50"/>
      <c r="S153" s="50"/>
    </row>
    <row r="154" spans="1:21" ht="18" customHeight="1">
      <c r="A154" s="16"/>
      <c r="B154" s="16"/>
      <c r="C154" s="16"/>
      <c r="D154" s="16"/>
      <c r="E154" s="16"/>
      <c r="F154" s="16"/>
      <c r="G154" s="16"/>
      <c r="I154" s="576"/>
      <c r="J154" s="79"/>
      <c r="K154" s="80"/>
      <c r="L154" s="80"/>
      <c r="M154" s="78"/>
      <c r="N154" s="78"/>
      <c r="O154" s="552"/>
      <c r="P154" s="49"/>
      <c r="Q154" s="50"/>
      <c r="R154" s="50"/>
      <c r="S154" s="50"/>
    </row>
    <row r="155" spans="1:21" ht="18" customHeight="1">
      <c r="A155" s="560" t="s">
        <v>142</v>
      </c>
      <c r="B155" s="560"/>
      <c r="C155" s="560"/>
      <c r="G155" s="44"/>
      <c r="I155" s="576"/>
      <c r="J155" s="79"/>
      <c r="K155" s="80"/>
      <c r="L155" s="80"/>
      <c r="M155" s="78"/>
      <c r="N155" s="78"/>
      <c r="O155" s="552"/>
      <c r="P155" s="49"/>
      <c r="Q155" s="50"/>
      <c r="R155" s="50"/>
      <c r="S155" s="50"/>
    </row>
    <row r="156" spans="1:21" ht="18" customHeight="1">
      <c r="A156" s="561" t="s">
        <v>324</v>
      </c>
      <c r="B156" s="561"/>
      <c r="C156" s="561"/>
      <c r="D156" s="196"/>
      <c r="E156" s="210"/>
      <c r="F156" s="210"/>
      <c r="G156" s="211"/>
      <c r="I156" s="576"/>
      <c r="J156" s="79"/>
      <c r="K156" s="80"/>
      <c r="L156" s="80"/>
      <c r="M156" s="78"/>
      <c r="N156" s="78"/>
      <c r="O156" s="552"/>
      <c r="P156" s="49"/>
      <c r="Q156" s="50"/>
      <c r="R156" s="50"/>
      <c r="S156" s="50"/>
    </row>
    <row r="157" spans="1:21" ht="18" customHeight="1">
      <c r="A157" s="544" t="s">
        <v>56</v>
      </c>
      <c r="B157" s="544"/>
      <c r="C157" s="544"/>
      <c r="D157" s="544"/>
      <c r="E157" s="544"/>
      <c r="F157" s="544"/>
      <c r="G157" s="544"/>
      <c r="I157" s="576"/>
      <c r="J157" s="79"/>
      <c r="K157" s="80"/>
      <c r="L157" s="80"/>
      <c r="M157" s="78"/>
      <c r="N157" s="78"/>
      <c r="O157" s="552"/>
      <c r="P157" s="49"/>
      <c r="Q157" s="50"/>
      <c r="R157" s="50"/>
      <c r="S157" s="50"/>
    </row>
    <row r="158" spans="1:21" ht="18" customHeight="1">
      <c r="A158" s="544" t="s">
        <v>93</v>
      </c>
      <c r="B158" s="544"/>
      <c r="C158" s="544"/>
      <c r="D158" s="544"/>
      <c r="E158" s="544"/>
      <c r="F158" s="544"/>
      <c r="G158" s="544"/>
      <c r="I158" s="576"/>
      <c r="J158" s="79"/>
      <c r="K158" s="80"/>
      <c r="L158" s="80"/>
      <c r="M158" s="78"/>
      <c r="N158" s="78"/>
      <c r="O158" s="552"/>
      <c r="P158" s="49"/>
      <c r="Q158" s="50"/>
      <c r="R158" s="50"/>
      <c r="S158" s="50"/>
      <c r="U158" s="69"/>
    </row>
    <row r="159" spans="1:21" ht="18" customHeight="1">
      <c r="A159" s="544" t="s">
        <v>57</v>
      </c>
      <c r="B159" s="544"/>
      <c r="C159" s="544"/>
      <c r="D159" s="544"/>
      <c r="E159" s="544"/>
      <c r="F159" s="544"/>
      <c r="G159" s="544"/>
      <c r="I159" s="576"/>
      <c r="J159" s="79"/>
      <c r="K159" s="80"/>
      <c r="L159" s="80"/>
      <c r="M159" s="78"/>
      <c r="N159" s="78"/>
      <c r="O159" s="552"/>
      <c r="Q159" s="50"/>
      <c r="R159" s="50"/>
      <c r="S159" s="50"/>
    </row>
    <row r="160" spans="1:21" ht="18" customHeight="1">
      <c r="A160" s="16"/>
      <c r="B160" s="15"/>
      <c r="C160" s="15"/>
      <c r="D160" s="15"/>
      <c r="E160" s="15"/>
      <c r="F160" s="15"/>
      <c r="G160" s="15"/>
      <c r="I160" s="576"/>
      <c r="J160" s="79"/>
      <c r="K160" s="80"/>
      <c r="L160" s="80"/>
      <c r="M160" s="78"/>
      <c r="N160" s="78"/>
      <c r="O160" s="552"/>
      <c r="P160" s="49"/>
      <c r="Q160" s="50"/>
      <c r="R160" s="50"/>
      <c r="S160" s="50"/>
    </row>
    <row r="161" spans="1:26" ht="18" customHeight="1">
      <c r="A161" s="15"/>
      <c r="B161" s="21" t="s">
        <v>33</v>
      </c>
      <c r="C161" s="22"/>
      <c r="D161" s="22"/>
      <c r="E161" s="22"/>
      <c r="F161" s="22"/>
      <c r="G161" s="22"/>
      <c r="I161" s="576"/>
      <c r="J161" s="79"/>
      <c r="K161" s="80"/>
      <c r="L161" s="80"/>
      <c r="M161" s="78"/>
      <c r="N161" s="78"/>
      <c r="O161" s="552"/>
      <c r="P161" s="49"/>
      <c r="Q161" s="50"/>
      <c r="R161" s="50"/>
      <c r="S161" s="50"/>
    </row>
    <row r="162" spans="1:26" ht="18" customHeight="1">
      <c r="A162" s="15"/>
      <c r="B162" s="23"/>
      <c r="C162" s="24"/>
      <c r="D162" s="24"/>
      <c r="E162" s="24"/>
      <c r="F162" s="24"/>
      <c r="G162" s="24"/>
      <c r="I162" s="576"/>
      <c r="J162" s="79"/>
      <c r="K162" s="80"/>
      <c r="L162" s="80"/>
      <c r="M162" s="78"/>
      <c r="N162" s="78"/>
      <c r="O162" s="552"/>
      <c r="P162" s="49"/>
      <c r="Q162" s="50"/>
      <c r="R162" s="50"/>
      <c r="S162" s="50"/>
    </row>
    <row r="163" spans="1:26" ht="18" customHeight="1">
      <c r="A163" s="25"/>
      <c r="B163" s="594"/>
      <c r="C163" s="595"/>
      <c r="D163" s="25"/>
      <c r="E163" s="25"/>
      <c r="F163" s="25"/>
      <c r="G163" s="25"/>
      <c r="I163" s="576"/>
      <c r="J163" s="81"/>
      <c r="K163" s="82"/>
      <c r="L163" s="80"/>
      <c r="M163" s="78"/>
      <c r="N163" s="85"/>
      <c r="O163" s="552"/>
      <c r="P163" s="49"/>
      <c r="Q163" s="50"/>
      <c r="R163" s="50"/>
      <c r="S163" s="50"/>
    </row>
    <row r="164" spans="1:26" ht="15.75" customHeight="1">
      <c r="A164" s="25"/>
      <c r="B164" s="594" t="s">
        <v>34</v>
      </c>
      <c r="C164" s="595"/>
      <c r="D164" s="25"/>
      <c r="E164" s="25"/>
      <c r="F164" s="25"/>
      <c r="G164" s="25"/>
      <c r="I164" s="576"/>
      <c r="J164" s="77"/>
      <c r="K164" s="85"/>
      <c r="L164" s="80"/>
      <c r="M164" s="78"/>
      <c r="N164" s="85"/>
      <c r="O164" s="552"/>
      <c r="P164" s="49"/>
      <c r="Q164" s="50"/>
      <c r="R164" s="50"/>
      <c r="S164" s="50"/>
    </row>
    <row r="165" spans="1:26" ht="18" customHeight="1">
      <c r="I165" s="576"/>
      <c r="J165" s="81"/>
      <c r="K165" s="82"/>
      <c r="L165" s="82"/>
      <c r="M165" s="86"/>
      <c r="N165" s="86"/>
      <c r="O165" s="552"/>
      <c r="P165" s="69"/>
      <c r="Q165" s="69"/>
      <c r="R165" s="32"/>
      <c r="S165" s="92"/>
      <c r="T165" s="94"/>
      <c r="U165" s="69"/>
      <c r="V165" s="73"/>
      <c r="W165" s="74"/>
      <c r="X165" s="89"/>
      <c r="Y165" s="89"/>
      <c r="Z165" s="69"/>
    </row>
    <row r="166" spans="1:26" ht="18" customHeight="1">
      <c r="I166" s="576"/>
      <c r="J166" s="81"/>
      <c r="K166" s="82"/>
      <c r="L166" s="82"/>
      <c r="M166" s="86"/>
      <c r="N166" s="86"/>
      <c r="O166" s="552"/>
      <c r="P166" s="69"/>
      <c r="Q166" s="69"/>
      <c r="R166" s="32"/>
      <c r="S166" s="92"/>
      <c r="T166" s="69"/>
      <c r="U166" s="69"/>
      <c r="V166" s="90"/>
      <c r="W166" s="86"/>
      <c r="X166" s="91"/>
      <c r="Y166" s="91"/>
      <c r="Z166" s="69"/>
    </row>
    <row r="167" spans="1:26" ht="18" customHeight="1">
      <c r="I167" s="576"/>
      <c r="J167" s="81"/>
      <c r="K167" s="82"/>
      <c r="L167" s="82"/>
      <c r="M167" s="86"/>
      <c r="N167" s="86"/>
      <c r="O167" s="552"/>
      <c r="P167" s="69"/>
      <c r="Q167" s="69"/>
      <c r="R167" s="32"/>
      <c r="S167" s="92"/>
      <c r="T167" s="69"/>
      <c r="U167" s="69"/>
      <c r="V167" s="73"/>
      <c r="W167" s="88"/>
      <c r="X167" s="69"/>
      <c r="Y167" s="69"/>
      <c r="Z167" s="69"/>
    </row>
    <row r="168" spans="1:26" ht="18" customHeight="1">
      <c r="I168" s="576"/>
      <c r="J168" s="81"/>
      <c r="K168" s="82"/>
      <c r="L168" s="82"/>
      <c r="M168" s="86"/>
      <c r="N168" s="86"/>
      <c r="O168" s="552"/>
      <c r="P168" s="69"/>
      <c r="Q168" s="69"/>
      <c r="R168" s="92"/>
      <c r="S168" s="92"/>
      <c r="T168" s="69"/>
      <c r="U168" s="69"/>
      <c r="V168" s="69"/>
      <c r="W168" s="69"/>
      <c r="X168" s="69"/>
      <c r="Y168" s="69"/>
      <c r="Z168" s="69"/>
    </row>
    <row r="169" spans="1:26" ht="18" customHeight="1">
      <c r="I169" s="576"/>
      <c r="J169" s="81"/>
      <c r="K169" s="82"/>
      <c r="L169" s="82"/>
      <c r="M169" s="86"/>
      <c r="N169" s="86"/>
      <c r="O169" s="552"/>
      <c r="P169" s="69"/>
      <c r="Q169" s="69"/>
      <c r="R169" s="92"/>
      <c r="S169" s="92"/>
      <c r="T169" s="69"/>
      <c r="U169" s="69"/>
      <c r="V169" s="69"/>
      <c r="W169" s="69"/>
      <c r="X169" s="69"/>
      <c r="Y169" s="69"/>
      <c r="Z169" s="69"/>
    </row>
    <row r="170" spans="1:26" ht="18" customHeight="1">
      <c r="I170" s="576"/>
      <c r="J170" s="81"/>
      <c r="K170" s="82"/>
      <c r="L170" s="82"/>
      <c r="M170" s="86"/>
      <c r="N170" s="86"/>
      <c r="O170" s="552"/>
      <c r="P170" s="100"/>
      <c r="Q170" s="101"/>
      <c r="R170" s="92"/>
      <c r="S170" s="92"/>
      <c r="T170" s="69"/>
      <c r="U170" s="69"/>
      <c r="V170" s="69"/>
      <c r="W170" s="69"/>
      <c r="X170" s="69"/>
      <c r="Y170" s="69"/>
      <c r="Z170" s="69"/>
    </row>
    <row r="171" spans="1:26" ht="18" customHeight="1">
      <c r="I171" s="576"/>
      <c r="J171" s="81"/>
      <c r="K171" s="82"/>
      <c r="L171" s="82"/>
      <c r="M171" s="86"/>
      <c r="N171" s="86"/>
      <c r="O171" s="552"/>
      <c r="P171" s="100"/>
      <c r="Q171" s="92"/>
      <c r="R171" s="92"/>
      <c r="S171" s="92"/>
      <c r="T171" s="69"/>
      <c r="U171" s="69"/>
      <c r="V171" s="69"/>
      <c r="W171" s="69"/>
      <c r="X171" s="69"/>
      <c r="Y171" s="69"/>
      <c r="Z171" s="69"/>
    </row>
    <row r="172" spans="1:26" ht="18" customHeight="1">
      <c r="I172" s="576"/>
      <c r="J172" s="81"/>
      <c r="K172" s="82"/>
      <c r="L172" s="82"/>
      <c r="M172" s="86"/>
      <c r="N172" s="86"/>
      <c r="O172" s="552"/>
      <c r="P172" s="100"/>
      <c r="Q172" s="92"/>
      <c r="R172" s="92"/>
      <c r="S172" s="92"/>
      <c r="T172" s="69"/>
      <c r="U172" s="69"/>
      <c r="V172" s="69"/>
      <c r="W172" s="69"/>
      <c r="X172" s="69"/>
      <c r="Y172" s="69"/>
      <c r="Z172" s="69"/>
    </row>
    <row r="173" spans="1:26" ht="18" customHeight="1">
      <c r="I173" s="576"/>
      <c r="J173" s="81"/>
      <c r="K173" s="82"/>
      <c r="L173" s="82"/>
      <c r="M173" s="86"/>
      <c r="N173" s="86"/>
      <c r="O173" s="552"/>
      <c r="P173" s="100"/>
      <c r="Q173" s="92"/>
      <c r="R173" s="92"/>
      <c r="S173" s="92"/>
      <c r="T173" s="69"/>
      <c r="U173" s="69"/>
      <c r="V173" s="69"/>
      <c r="W173" s="69"/>
      <c r="X173" s="69"/>
      <c r="Y173" s="69"/>
      <c r="Z173" s="69"/>
    </row>
    <row r="174" spans="1:26" ht="18" customHeight="1">
      <c r="I174" s="568"/>
      <c r="J174" s="568"/>
      <c r="K174" s="568"/>
      <c r="L174" s="73"/>
      <c r="M174" s="88"/>
      <c r="N174" s="88"/>
      <c r="O174" s="102"/>
      <c r="P174" s="100"/>
      <c r="Q174" s="92"/>
      <c r="R174" s="92"/>
      <c r="S174" s="92"/>
      <c r="T174" s="69"/>
      <c r="U174" s="69"/>
      <c r="V174" s="69"/>
      <c r="W174" s="69"/>
      <c r="X174" s="69"/>
      <c r="Y174" s="69"/>
      <c r="Z174" s="69"/>
    </row>
    <row r="175" spans="1:26">
      <c r="I175" s="575"/>
      <c r="J175" s="81"/>
      <c r="K175" s="82"/>
      <c r="L175" s="82"/>
      <c r="M175" s="86"/>
      <c r="N175" s="86"/>
      <c r="O175" s="551"/>
      <c r="P175" s="100"/>
      <c r="Q175" s="92"/>
      <c r="R175" s="92"/>
      <c r="S175" s="92"/>
      <c r="T175" s="69"/>
      <c r="U175" s="69"/>
      <c r="V175" s="69"/>
      <c r="W175" s="69"/>
      <c r="X175" s="69"/>
      <c r="Y175" s="69"/>
      <c r="Z175" s="69"/>
    </row>
    <row r="176" spans="1:26" ht="18" customHeight="1">
      <c r="I176" s="575"/>
      <c r="J176" s="81"/>
      <c r="K176" s="82"/>
      <c r="L176" s="82"/>
      <c r="M176" s="86"/>
      <c r="N176" s="86"/>
      <c r="O176" s="551"/>
      <c r="P176" s="100"/>
      <c r="Q176" s="92"/>
      <c r="R176" s="92"/>
      <c r="S176" s="92"/>
      <c r="T176" s="69"/>
      <c r="U176" s="69"/>
      <c r="V176" s="69"/>
      <c r="W176" s="69"/>
      <c r="X176" s="69"/>
      <c r="Y176" s="69"/>
      <c r="Z176" s="69"/>
    </row>
    <row r="177" spans="9:26" ht="18" customHeight="1">
      <c r="I177" s="575"/>
      <c r="J177" s="81"/>
      <c r="K177" s="82"/>
      <c r="L177" s="82"/>
      <c r="M177" s="86"/>
      <c r="N177" s="86"/>
      <c r="O177" s="551"/>
      <c r="P177" s="100"/>
      <c r="Q177" s="92"/>
      <c r="R177" s="92"/>
      <c r="S177" s="92"/>
      <c r="T177" s="69"/>
      <c r="U177" s="69"/>
      <c r="V177" s="69"/>
      <c r="W177" s="69"/>
      <c r="X177" s="69"/>
      <c r="Y177" s="69"/>
      <c r="Z177" s="69"/>
    </row>
    <row r="178" spans="9:26" ht="18" customHeight="1">
      <c r="I178" s="575"/>
      <c r="J178" s="81"/>
      <c r="K178" s="82"/>
      <c r="L178" s="82"/>
      <c r="M178" s="86"/>
      <c r="N178" s="86"/>
      <c r="O178" s="551"/>
      <c r="P178" s="100"/>
      <c r="Q178" s="92"/>
      <c r="R178" s="92"/>
      <c r="S178" s="92"/>
      <c r="T178" s="69"/>
      <c r="U178" s="69"/>
      <c r="V178" s="69"/>
      <c r="W178" s="69"/>
      <c r="X178" s="69"/>
      <c r="Y178" s="69"/>
      <c r="Z178" s="69"/>
    </row>
    <row r="179" spans="9:26" ht="18" customHeight="1">
      <c r="I179" s="575"/>
      <c r="J179" s="81"/>
      <c r="K179" s="82"/>
      <c r="L179" s="82"/>
      <c r="M179" s="86"/>
      <c r="N179" s="86"/>
      <c r="O179" s="551"/>
      <c r="P179" s="100"/>
      <c r="Q179" s="92"/>
      <c r="R179" s="92"/>
      <c r="S179" s="92"/>
      <c r="T179" s="69"/>
      <c r="U179" s="69"/>
      <c r="V179" s="69"/>
      <c r="W179" s="69"/>
      <c r="X179" s="69"/>
      <c r="Y179" s="69"/>
      <c r="Z179" s="69"/>
    </row>
    <row r="180" spans="9:26" ht="18" customHeight="1">
      <c r="I180" s="575"/>
      <c r="J180" s="81"/>
      <c r="K180" s="82"/>
      <c r="L180" s="82"/>
      <c r="M180" s="86"/>
      <c r="N180" s="86"/>
      <c r="O180" s="551"/>
      <c r="P180" s="100"/>
      <c r="Q180" s="92"/>
      <c r="R180" s="92"/>
      <c r="S180" s="92"/>
      <c r="T180" s="69"/>
      <c r="U180" s="69"/>
      <c r="V180" s="69"/>
      <c r="W180" s="69"/>
      <c r="X180" s="69"/>
      <c r="Y180" s="69"/>
      <c r="Z180" s="69"/>
    </row>
    <row r="181" spans="9:26" ht="18" customHeight="1">
      <c r="I181" s="575"/>
      <c r="J181" s="81"/>
      <c r="K181" s="82"/>
      <c r="L181" s="82"/>
      <c r="M181" s="86"/>
      <c r="N181" s="86"/>
      <c r="O181" s="551"/>
      <c r="P181" s="69"/>
      <c r="Q181" s="92"/>
      <c r="R181" s="92"/>
      <c r="S181" s="92"/>
      <c r="T181" s="69"/>
      <c r="U181" s="69"/>
      <c r="V181" s="69"/>
      <c r="W181" s="69"/>
      <c r="X181" s="69"/>
      <c r="Y181" s="69"/>
      <c r="Z181" s="69"/>
    </row>
    <row r="182" spans="9:26" ht="18" customHeight="1">
      <c r="I182" s="575"/>
      <c r="J182" s="81"/>
      <c r="K182" s="82"/>
      <c r="L182" s="82"/>
      <c r="M182" s="86"/>
      <c r="N182" s="86"/>
      <c r="O182" s="551"/>
      <c r="P182" s="100"/>
      <c r="Q182" s="92"/>
      <c r="R182" s="92"/>
      <c r="S182" s="92"/>
      <c r="T182" s="69"/>
      <c r="U182" s="69"/>
      <c r="V182" s="69"/>
      <c r="W182" s="69"/>
      <c r="X182" s="69"/>
      <c r="Y182" s="69"/>
      <c r="Z182" s="69"/>
    </row>
    <row r="183" spans="9:26" ht="18" customHeight="1">
      <c r="I183" s="575"/>
      <c r="J183" s="81"/>
      <c r="K183" s="82"/>
      <c r="L183" s="82"/>
      <c r="M183" s="86"/>
      <c r="N183" s="86"/>
      <c r="O183" s="551"/>
      <c r="P183" s="100"/>
      <c r="Q183" s="92"/>
      <c r="R183" s="92"/>
      <c r="S183" s="92"/>
      <c r="T183" s="69"/>
      <c r="U183" s="69"/>
      <c r="V183" s="69"/>
      <c r="W183" s="69"/>
      <c r="X183" s="69"/>
      <c r="Y183" s="69"/>
      <c r="Z183" s="69"/>
    </row>
    <row r="184" spans="9:26" ht="18" customHeight="1">
      <c r="I184" s="575"/>
      <c r="J184" s="81"/>
      <c r="K184" s="82"/>
      <c r="L184" s="82"/>
      <c r="M184" s="86"/>
      <c r="N184" s="86"/>
      <c r="O184" s="551"/>
      <c r="P184" s="100"/>
      <c r="Q184" s="92"/>
      <c r="R184" s="92"/>
      <c r="S184" s="92"/>
      <c r="T184" s="69"/>
      <c r="U184" s="69"/>
      <c r="V184" s="69"/>
      <c r="W184" s="69"/>
      <c r="X184" s="69"/>
      <c r="Y184" s="69"/>
      <c r="Z184" s="69"/>
    </row>
    <row r="185" spans="9:26" ht="18" customHeight="1">
      <c r="I185" s="575"/>
      <c r="J185" s="81"/>
      <c r="K185" s="82"/>
      <c r="L185" s="82"/>
      <c r="M185" s="86"/>
      <c r="N185" s="103"/>
      <c r="O185" s="551"/>
      <c r="P185" s="100"/>
      <c r="Q185" s="92"/>
      <c r="R185" s="92"/>
      <c r="S185" s="92"/>
      <c r="T185" s="69"/>
      <c r="U185" s="69"/>
      <c r="V185" s="69"/>
      <c r="W185" s="69"/>
      <c r="X185" s="69"/>
      <c r="Y185" s="69"/>
      <c r="Z185" s="69"/>
    </row>
    <row r="186" spans="9:26" ht="18" customHeight="1">
      <c r="I186" s="575"/>
      <c r="J186" s="90"/>
      <c r="K186" s="103"/>
      <c r="L186" s="82"/>
      <c r="M186" s="86"/>
      <c r="N186" s="103"/>
      <c r="O186" s="551"/>
      <c r="P186" s="100"/>
      <c r="Q186" s="92"/>
      <c r="R186" s="92"/>
      <c r="S186" s="92"/>
      <c r="T186" s="69"/>
      <c r="U186" s="69"/>
      <c r="V186" s="69"/>
      <c r="W186" s="69"/>
      <c r="X186" s="69"/>
      <c r="Y186" s="69"/>
      <c r="Z186" s="69"/>
    </row>
    <row r="187" spans="9:26" ht="18" customHeight="1">
      <c r="I187" s="568"/>
      <c r="J187" s="568"/>
      <c r="K187" s="568"/>
      <c r="L187" s="104"/>
      <c r="M187" s="88"/>
      <c r="N187" s="88"/>
      <c r="O187" s="69"/>
      <c r="P187" s="69"/>
      <c r="Q187" s="92"/>
      <c r="R187" s="92"/>
      <c r="S187" s="92"/>
      <c r="T187" s="69"/>
      <c r="U187" s="69"/>
      <c r="V187" s="69"/>
      <c r="W187" s="69"/>
      <c r="X187" s="69"/>
      <c r="Y187" s="69"/>
      <c r="Z187" s="69"/>
    </row>
    <row r="188" spans="9:26" ht="18" customHeight="1">
      <c r="I188" s="574"/>
      <c r="J188" s="574"/>
      <c r="K188" s="574"/>
      <c r="L188" s="88"/>
      <c r="M188" s="88"/>
      <c r="N188" s="92"/>
      <c r="O188" s="92"/>
      <c r="P188" s="92"/>
      <c r="Q188" s="92"/>
      <c r="R188" s="92"/>
      <c r="S188" s="92"/>
      <c r="T188" s="69"/>
      <c r="U188" s="69"/>
      <c r="V188" s="69"/>
      <c r="W188" s="69"/>
      <c r="X188" s="69"/>
      <c r="Y188" s="69"/>
      <c r="Z188" s="69"/>
    </row>
  </sheetData>
  <autoFilter ref="H15:H147" xr:uid="{00000000-0001-0000-0000-000000000000}">
    <filterColumn colId="0">
      <filters blank="1">
        <filter val="1"/>
        <filter val="13"/>
        <filter val="14"/>
        <filter val="2"/>
        <filter val="26"/>
        <filter val="283"/>
        <filter val="2831"/>
        <filter val="3"/>
        <filter val="3233.9175"/>
        <filter val="33"/>
        <filter val="341"/>
        <filter val="36"/>
        <filter val="3913.040175"/>
        <filter val="4"/>
        <filter val="413"/>
        <filter val="4311.89"/>
        <filter val="455"/>
        <filter val="476"/>
        <filter val="5"/>
        <filter val="5,054"/>
        <filter val="575"/>
        <filter val="58"/>
        <filter val="6"/>
        <filter val="634"/>
        <filter val="864"/>
        <filter val="87"/>
        <filter val="9"/>
        <filter val="924"/>
      </filters>
    </filterColumn>
  </autoFilter>
  <mergeCells count="79">
    <mergeCell ref="O175:O186"/>
    <mergeCell ref="I187:K187"/>
    <mergeCell ref="I188:K188"/>
    <mergeCell ref="A158:G158"/>
    <mergeCell ref="A159:G159"/>
    <mergeCell ref="B163:C163"/>
    <mergeCell ref="B164:C164"/>
    <mergeCell ref="I174:K174"/>
    <mergeCell ref="I175:I186"/>
    <mergeCell ref="I132:I173"/>
    <mergeCell ref="O132:O173"/>
    <mergeCell ref="A133:G133"/>
    <mergeCell ref="B135:B136"/>
    <mergeCell ref="C135:C136"/>
    <mergeCell ref="D135:D136"/>
    <mergeCell ref="E135:E136"/>
    <mergeCell ref="A157:G157"/>
    <mergeCell ref="C143:C144"/>
    <mergeCell ref="D143:D144"/>
    <mergeCell ref="E143:E144"/>
    <mergeCell ref="A147:F147"/>
    <mergeCell ref="A149:G149"/>
    <mergeCell ref="A150:G150"/>
    <mergeCell ref="A151:G151"/>
    <mergeCell ref="A152:G152"/>
    <mergeCell ref="A153:G153"/>
    <mergeCell ref="A155:C155"/>
    <mergeCell ref="A156:C156"/>
    <mergeCell ref="A139:F139"/>
    <mergeCell ref="A141:G141"/>
    <mergeCell ref="B143:B144"/>
    <mergeCell ref="A116:C116"/>
    <mergeCell ref="A120:C120"/>
    <mergeCell ref="A124:C124"/>
    <mergeCell ref="A128:F128"/>
    <mergeCell ref="A129:D129"/>
    <mergeCell ref="A130:F130"/>
    <mergeCell ref="A111:G111"/>
    <mergeCell ref="A112:G112"/>
    <mergeCell ref="B114:B115"/>
    <mergeCell ref="C114:C115"/>
    <mergeCell ref="D114:D115"/>
    <mergeCell ref="E114:E115"/>
    <mergeCell ref="A108:F108"/>
    <mergeCell ref="A89:G89"/>
    <mergeCell ref="A90:G90"/>
    <mergeCell ref="B92:B93"/>
    <mergeCell ref="C92:C93"/>
    <mergeCell ref="D92:D93"/>
    <mergeCell ref="E92:E93"/>
    <mergeCell ref="A94:C94"/>
    <mergeCell ref="A98:C98"/>
    <mergeCell ref="A102:C102"/>
    <mergeCell ref="A106:F106"/>
    <mergeCell ref="A107:D107"/>
    <mergeCell ref="A86:G86"/>
    <mergeCell ref="K18:O18"/>
    <mergeCell ref="A19:C19"/>
    <mergeCell ref="A35:C35"/>
    <mergeCell ref="A47:C47"/>
    <mergeCell ref="A55:D55"/>
    <mergeCell ref="A57:D57"/>
    <mergeCell ref="A59:D59"/>
    <mergeCell ref="A64:C64"/>
    <mergeCell ref="A81:D81"/>
    <mergeCell ref="A82:D82"/>
    <mergeCell ref="A83:D83"/>
    <mergeCell ref="A16:C16"/>
    <mergeCell ref="A1:C1"/>
    <mergeCell ref="A2:C2"/>
    <mergeCell ref="A3:C3"/>
    <mergeCell ref="A5:G5"/>
    <mergeCell ref="A6:G6"/>
    <mergeCell ref="A7:C7"/>
    <mergeCell ref="A13:G13"/>
    <mergeCell ref="B14:B15"/>
    <mergeCell ref="C14:C15"/>
    <mergeCell ref="D14:D15"/>
    <mergeCell ref="E14:E15"/>
  </mergeCells>
  <hyperlinks>
    <hyperlink ref="B164" r:id="rId1" xr:uid="{3EC06850-C33E-4D49-B351-58C741ECB766}"/>
    <hyperlink ref="A156" r:id="rId2" xr:uid="{1C58FAF9-D830-4321-88A9-479CC3325D1F}"/>
  </hyperlinks>
  <pageMargins left="0.70866141732283505" right="0.23622047244094499" top="1.5" bottom="1.19" header="0.25" footer="0.15748031496063"/>
  <pageSetup paperSize="9" scale="78" orientation="portrait" r:id="rId3"/>
  <headerFooter scaleWithDoc="0" alignWithMargins="0">
    <oddHeader>&amp;L&amp;G&amp;R&amp;G</oddHeader>
    <oddFooter xml:space="preserve">&amp;L
RO33404978
J40/8589/2014
RO56INGB0000999915150915
Banca: ING BANK NV
&amp;C
Str. Învingătorilor nr. 27, Sector 3, București
Tel :  (+4) 0314.361.836
Mobil:  (+4) 0724.204.888
             (+4) 0766.367.287
&amp;REmail: 
comercial@magnumheating.ro
</oddFooter>
  </headerFooter>
  <rowBreaks count="1" manualBreakCount="1">
    <brk id="83" max="6" man="1"/>
  </rowBreaks>
  <colBreaks count="1" manualBreakCount="1">
    <brk id="7" max="1048575" man="1"/>
  </colBreaks>
  <drawing r:id="rId4"/>
  <legacyDrawing r:id="rId5"/>
  <legacyDrawingHF r:id="rId6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754652-EBA6-492D-B3B6-48EABFA15B2A}">
  <sheetPr>
    <tabColor rgb="FF00B050"/>
  </sheetPr>
  <dimension ref="A1:AH189"/>
  <sheetViews>
    <sheetView zoomScale="85" zoomScaleNormal="85" zoomScaleSheetLayoutView="100" workbookViewId="0">
      <selection activeCell="Q26" sqref="Q26"/>
    </sheetView>
  </sheetViews>
  <sheetFormatPr defaultRowHeight="14.4"/>
  <cols>
    <col min="1" max="1" width="11.88671875" customWidth="1"/>
    <col min="2" max="2" width="9.6640625" customWidth="1"/>
    <col min="3" max="3" width="10.44140625" customWidth="1"/>
    <col min="4" max="4" width="8.5546875" customWidth="1"/>
    <col min="5" max="5" width="6.77734375" customWidth="1"/>
    <col min="6" max="6" width="11.21875" customWidth="1"/>
    <col min="7" max="7" width="8.77734375" customWidth="1"/>
    <col min="8" max="8" width="9.5546875" customWidth="1"/>
    <col min="9" max="9" width="8.21875" customWidth="1"/>
    <col min="10" max="10" width="7.6640625" customWidth="1"/>
    <col min="11" max="11" width="9.21875" customWidth="1"/>
    <col min="12" max="12" width="12.44140625" customWidth="1"/>
    <col min="13" max="13" width="7.77734375" customWidth="1"/>
    <col min="14" max="14" width="9.44140625" customWidth="1"/>
    <col min="15" max="15" width="8.21875" customWidth="1"/>
    <col min="16" max="16" width="7" customWidth="1"/>
    <col min="17" max="17" width="10.77734375" customWidth="1"/>
    <col min="19" max="19" width="9.21875" customWidth="1"/>
    <col min="20" max="20" width="8" customWidth="1"/>
    <col min="21" max="21" width="7.6640625" customWidth="1"/>
    <col min="22" max="22" width="6.44140625" customWidth="1"/>
    <col min="23" max="23" width="10.44140625" customWidth="1"/>
    <col min="24" max="24" width="8.21875" customWidth="1"/>
    <col min="25" max="25" width="9.6640625" customWidth="1"/>
    <col min="27" max="27" width="7.33203125" customWidth="1"/>
    <col min="28" max="28" width="10.77734375" customWidth="1"/>
    <col min="30" max="30" width="8.44140625" customWidth="1"/>
    <col min="31" max="31" width="7.88671875" customWidth="1"/>
    <col min="32" max="32" width="8.5546875" customWidth="1"/>
    <col min="33" max="33" width="6.21875" customWidth="1"/>
    <col min="34" max="34" width="7.44140625" customWidth="1"/>
  </cols>
  <sheetData>
    <row r="1" spans="1:33" ht="24.75" customHeight="1" thickTop="1" thickBot="1">
      <c r="A1" s="579" t="s">
        <v>196</v>
      </c>
      <c r="B1" s="580"/>
      <c r="C1" s="580"/>
      <c r="D1" s="580"/>
      <c r="E1" s="580"/>
      <c r="F1" s="580"/>
      <c r="G1" s="580"/>
      <c r="H1" s="580"/>
      <c r="I1" s="580"/>
      <c r="J1" s="580"/>
      <c r="K1" s="54"/>
      <c r="L1" s="579" t="s">
        <v>327</v>
      </c>
      <c r="M1" s="580"/>
      <c r="N1" s="580"/>
      <c r="O1" s="580"/>
      <c r="P1" s="580"/>
      <c r="Q1" s="580"/>
      <c r="R1" s="580"/>
      <c r="S1" s="580"/>
      <c r="T1" s="580"/>
      <c r="U1" s="580"/>
      <c r="W1" s="579" t="s">
        <v>311</v>
      </c>
      <c r="X1" s="580"/>
      <c r="Y1" s="580"/>
      <c r="Z1" s="580"/>
      <c r="AA1" s="580"/>
      <c r="AB1" s="580"/>
      <c r="AC1" s="580"/>
      <c r="AD1" s="580"/>
      <c r="AE1" s="580"/>
      <c r="AF1" s="580"/>
    </row>
    <row r="2" spans="1:33" ht="24" customHeight="1" thickTop="1" thickBot="1">
      <c r="A2" s="603" t="s">
        <v>533</v>
      </c>
      <c r="B2" s="604"/>
      <c r="C2" s="604"/>
      <c r="D2" s="604"/>
      <c r="E2" s="604"/>
      <c r="F2" s="605" t="s">
        <v>534</v>
      </c>
      <c r="G2" s="606"/>
      <c r="H2" s="606"/>
      <c r="I2" s="606"/>
      <c r="J2" s="606"/>
      <c r="K2" s="151"/>
      <c r="L2" s="603" t="s">
        <v>533</v>
      </c>
      <c r="M2" s="604"/>
      <c r="N2" s="604"/>
      <c r="O2" s="604"/>
      <c r="P2" s="604"/>
      <c r="Q2" s="605" t="s">
        <v>534</v>
      </c>
      <c r="R2" s="606"/>
      <c r="S2" s="606"/>
      <c r="T2" s="606"/>
      <c r="U2" s="606"/>
      <c r="W2" s="603" t="s">
        <v>533</v>
      </c>
      <c r="X2" s="604"/>
      <c r="Y2" s="604"/>
      <c r="Z2" s="604"/>
      <c r="AA2" s="604"/>
      <c r="AB2" s="605" t="s">
        <v>534</v>
      </c>
      <c r="AC2" s="606"/>
      <c r="AD2" s="606"/>
      <c r="AE2" s="606"/>
      <c r="AF2" s="606"/>
    </row>
    <row r="3" spans="1:33" ht="38.25" customHeight="1" thickTop="1" thickBot="1">
      <c r="A3" s="55"/>
      <c r="B3" s="454" t="s">
        <v>144</v>
      </c>
      <c r="C3" s="454" t="s">
        <v>158</v>
      </c>
      <c r="D3" s="454" t="s">
        <v>535</v>
      </c>
      <c r="E3" s="454" t="s">
        <v>536</v>
      </c>
      <c r="F3" s="55"/>
      <c r="G3" s="454" t="s">
        <v>144</v>
      </c>
      <c r="H3" s="454" t="s">
        <v>145</v>
      </c>
      <c r="I3" s="454" t="s">
        <v>537</v>
      </c>
      <c r="J3" s="454" t="s">
        <v>536</v>
      </c>
      <c r="K3" s="455" t="s">
        <v>222</v>
      </c>
      <c r="L3" s="55"/>
      <c r="M3" s="454" t="s">
        <v>144</v>
      </c>
      <c r="N3" s="454" t="s">
        <v>158</v>
      </c>
      <c r="O3" s="454" t="s">
        <v>538</v>
      </c>
      <c r="P3" s="454" t="s">
        <v>536</v>
      </c>
      <c r="Q3" s="55"/>
      <c r="R3" s="454" t="s">
        <v>144</v>
      </c>
      <c r="S3" s="454" t="s">
        <v>145</v>
      </c>
      <c r="T3" s="454" t="s">
        <v>537</v>
      </c>
      <c r="U3" s="454" t="s">
        <v>536</v>
      </c>
      <c r="V3" s="56"/>
      <c r="W3" s="55"/>
      <c r="X3" s="454" t="s">
        <v>144</v>
      </c>
      <c r="Y3" s="454" t="s">
        <v>158</v>
      </c>
      <c r="Z3" s="454" t="s">
        <v>539</v>
      </c>
      <c r="AA3" s="454" t="s">
        <v>536</v>
      </c>
      <c r="AB3" s="55"/>
      <c r="AC3" s="454" t="s">
        <v>144</v>
      </c>
      <c r="AD3" s="454" t="s">
        <v>145</v>
      </c>
      <c r="AE3" s="454" t="s">
        <v>537</v>
      </c>
      <c r="AF3" s="454" t="s">
        <v>536</v>
      </c>
      <c r="AG3" s="56"/>
    </row>
    <row r="4" spans="1:33" ht="16.05" customHeight="1" thickTop="1" thickBot="1">
      <c r="A4" s="57" t="s">
        <v>146</v>
      </c>
      <c r="B4" s="456"/>
      <c r="C4" s="141">
        <f>B4*10</f>
        <v>0</v>
      </c>
      <c r="D4" s="142">
        <f>IF(ISBLANK(B4),0,IF(B4&lt;=7.6,1,ROUNDUP(C4/76,0)))</f>
        <v>0</v>
      </c>
      <c r="E4" s="55" t="str">
        <f>IF(AND(ISNUMBER(SEARCH("living",A4)),D4&gt;0),1,IF(AND(ISNUMBER(SEARCH("dining",A4)),D4&gt;0),1,IF(AND(ISNUMBER(SEARCH("bucatarie",A4)),D4&gt;0),1,IF(AND(ISNUMBER(SEARCH("dormitor",A4)),D4&gt;0),1,IF(AND(ISNUMBER(SEARCH("birou",A4)),D4&gt;0),1,IF(AND(ISNUMBER(SEARCH("baie",A4)),D4&gt;0),1,IF(AND(ISNUMBER(SEARCH("liv.+dining",A4)),D4&gt;0),1,IF(AND(ISNUMBER(SEARCH("camera",A4)),D4&gt;0),1,""))))))))</f>
        <v/>
      </c>
      <c r="F4" s="57" t="s">
        <v>146</v>
      </c>
      <c r="G4" s="457"/>
      <c r="H4" s="141">
        <f>G4*13.3</f>
        <v>0</v>
      </c>
      <c r="I4" s="141">
        <f>IF(ISBLANK(G4),0,IF(G4&lt;=5,1,ROUNDUP(H4/60,0)))</f>
        <v>0</v>
      </c>
      <c r="J4" s="55" t="str">
        <f>IF(AND(ISNUMBER(SEARCH("living",F4)),I4&gt;0),1,IF(AND(ISNUMBER(SEARCH("dining",F4)),I4&gt;0),1,IF(AND(ISNUMBER(SEARCH("bucatarie",F4)),I4&gt;0),1,IF(AND(ISNUMBER(SEARCH("dormitor",F4)),I4&gt;0),1,IF(AND(ISNUMBER(SEARCH("birou",F4)),I4&gt;0),1,IF(AND(ISNUMBER(SEARCH("baie",F4)),I4&gt;0),1,IF(AND(ISNUMBER(SEARCH("liv.+dining",F4)),I4&gt;0),1,IF(AND(ISNUMBER(SEARCH("camera",F4)),I4&gt;0),1,""))))))))</f>
        <v/>
      </c>
      <c r="K4" s="142" t="s">
        <v>146</v>
      </c>
      <c r="L4" s="57" t="s">
        <v>146</v>
      </c>
      <c r="M4" s="456"/>
      <c r="N4" s="141">
        <f>M4*10</f>
        <v>0</v>
      </c>
      <c r="O4" s="142">
        <f>IF(ISBLANK(M4),0,IF(M4&lt;=7.6,1,ROUNDUP(N4/76,0)))</f>
        <v>0</v>
      </c>
      <c r="P4" s="55" t="str">
        <f>IF(AND(ISNUMBER(SEARCH("living",L4)),O4&gt;0),1,IF(AND(ISNUMBER(SEARCH("dining",L4)),O4&gt;0),1,IF(AND(ISNUMBER(SEARCH("bucatarie",L4)),O4&gt;0),1,IF(AND(ISNUMBER(SEARCH("dormitor",L4)),O4&gt;0),1,IF(AND(ISNUMBER(SEARCH("birou",L4)),O4&gt;0),1,IF(AND(ISNUMBER(SEARCH("baie",L4)),O4&gt;0),1,IF(AND(ISNUMBER(SEARCH("liv.+dining",L4)),O4&gt;0),1,IF(AND(ISNUMBER(SEARCH("camera",L4)),O4&gt;0),1,""))))))))</f>
        <v/>
      </c>
      <c r="Q4" s="57" t="s">
        <v>146</v>
      </c>
      <c r="R4" s="457"/>
      <c r="S4" s="141">
        <f>R4*13.3</f>
        <v>0</v>
      </c>
      <c r="T4" s="141">
        <f>IF(ISBLANK(R4),0,IF(R4&lt;=5,1,ROUNDUP(S4/60,0)))</f>
        <v>0</v>
      </c>
      <c r="U4" s="55" t="str">
        <f>IF(AND(ISNUMBER(SEARCH("living",Q4)),T4&gt;0),1,IF(AND(ISNUMBER(SEARCH("dining",Q4)),T4&gt;0),1,IF(AND(ISNUMBER(SEARCH("bucatarie",Q4)),T4&gt;0),1,IF(AND(ISNUMBER(SEARCH("dormitor",Q4)),T4&gt;0),1,IF(AND(ISNUMBER(SEARCH("birou",Q4)),T4&gt;0),1,IF(AND(ISNUMBER(SEARCH("baie",Q4)),T4&gt;0),1,IF(AND(ISNUMBER(SEARCH("liv.+dining",Q4)),T4&gt;0),1,IF(AND(ISNUMBER(SEARCH("camera",Q4)),T4&gt;0),1,""))))))))</f>
        <v/>
      </c>
      <c r="V4" s="56"/>
      <c r="W4" s="57" t="s">
        <v>146</v>
      </c>
      <c r="X4" s="456"/>
      <c r="Y4" s="141">
        <f>X4*10</f>
        <v>0</v>
      </c>
      <c r="Z4" s="142">
        <f>IF(ISBLANK(X4),0,IF(X4&lt;=7.6,1,ROUNDUP(Y4/76,0)))</f>
        <v>0</v>
      </c>
      <c r="AA4" s="55" t="str">
        <f>IF(AND(ISNUMBER(SEARCH("living",W4)),Z4&gt;0),1,IF(AND(ISNUMBER(SEARCH("dining",W4)),Z4&gt;0),1,IF(AND(ISNUMBER(SEARCH("bucatarie",W4)),Z4&gt;0),1,IF(AND(ISNUMBER(SEARCH("dormitor",W4)),Z4&gt;0),1,IF(AND(ISNUMBER(SEARCH("birou",W4)),Z4&gt;0),1,IF(AND(ISNUMBER(SEARCH("baie",W4)),Z4&gt;0),1,IF(AND(ISNUMBER(SEARCH("liv.+dining",W4)),Z4&gt;0),1,IF(AND(ISNUMBER(SEARCH("camera",W4)),Z4&gt;0),1,""))))))))</f>
        <v/>
      </c>
      <c r="AB4" s="57" t="s">
        <v>146</v>
      </c>
      <c r="AC4" s="457"/>
      <c r="AD4" s="141">
        <f>AC4*13.3</f>
        <v>0</v>
      </c>
      <c r="AE4" s="141">
        <f>IF(ISBLANK(AC4),0,IF(AC4&lt;=5,1,ROUNDUP(AD4/60,0)))</f>
        <v>0</v>
      </c>
      <c r="AF4" s="55" t="str">
        <f>IF(AND(ISNUMBER(SEARCH("living",AB4)),AE4&gt;0),1,IF(AND(ISNUMBER(SEARCH("dining",AB4)),AE4&gt;0),1,IF(AND(ISNUMBER(SEARCH("bucatarie",AB4)),AE4&gt;0),1,IF(AND(ISNUMBER(SEARCH("dormitor",AB4)),AE4&gt;0),1,IF(AND(ISNUMBER(SEARCH("birou",AB4)),AE4&gt;0),1,IF(AND(ISNUMBER(SEARCH("baie",AB4)),AE4&gt;0),1,IF(AND(ISNUMBER(SEARCH("liv.+dining",AB4)),AE4&gt;0),1,IF(AND(ISNUMBER(SEARCH("camera",AB4)),AE4&gt;0),1,""))))))))</f>
        <v/>
      </c>
      <c r="AG4" s="56"/>
    </row>
    <row r="5" spans="1:33" ht="16.05" customHeight="1" thickTop="1" thickBot="1">
      <c r="A5" s="57" t="s">
        <v>147</v>
      </c>
      <c r="B5" s="456"/>
      <c r="C5" s="141">
        <f t="shared" ref="C5:C19" si="0">B5*10</f>
        <v>0</v>
      </c>
      <c r="D5" s="142">
        <f t="shared" ref="D5:D19" si="1">IF(ISBLANK(B5),0,IF(B5&lt;=7.6,1,ROUNDUP(C5/76,0)))</f>
        <v>0</v>
      </c>
      <c r="E5" s="55" t="str">
        <f t="shared" ref="E5:E19" si="2">IF(AND(ISNUMBER(SEARCH("living",A5)),D5&gt;0),1,IF(AND(ISNUMBER(SEARCH("dining",A5)),D5&gt;0),1,IF(AND(ISNUMBER(SEARCH("bucatarie",A5)),D5&gt;0),1,IF(AND(ISNUMBER(SEARCH("dormitor",A5)),D5&gt;0),1,IF(AND(ISNUMBER(SEARCH("birou",A5)),D5&gt;0),1,IF(AND(ISNUMBER(SEARCH("baie",A5)),D5&gt;0),1,IF(AND(ISNUMBER(SEARCH("liv.+dining",A5)),D5&gt;0),1,IF(AND(ISNUMBER(SEARCH("camera",A5)),D5&gt;0),1,""))))))))</f>
        <v/>
      </c>
      <c r="F5" s="57" t="s">
        <v>149</v>
      </c>
      <c r="G5" s="457"/>
      <c r="H5" s="141">
        <f t="shared" ref="H5:H19" si="3">G5*13.3</f>
        <v>0</v>
      </c>
      <c r="I5" s="141">
        <f t="shared" ref="I5:I19" si="4">IF(ISBLANK(G5),0,IF(G5&lt;=5,1,ROUNDUP(H5/60,0)))</f>
        <v>0</v>
      </c>
      <c r="J5" s="55" t="str">
        <f t="shared" ref="J5:J19" si="5">IF(AND(ISNUMBER(SEARCH("living",F5)),I5&gt;0),1,IF(AND(ISNUMBER(SEARCH("dining",F5)),I5&gt;0),1,IF(AND(ISNUMBER(SEARCH("bucatarie",F5)),I5&gt;0),1,IF(AND(ISNUMBER(SEARCH("dormitor",F5)),I5&gt;0),1,IF(AND(ISNUMBER(SEARCH("birou",F5)),I5&gt;0),1,IF(AND(ISNUMBER(SEARCH("baie",F5)),I5&gt;0),1,IF(AND(ISNUMBER(SEARCH("liv.+dining",F5)),I5&gt;0),1,IF(AND(ISNUMBER(SEARCH("camera",F5)),I5&gt;0),1,""))))))))</f>
        <v/>
      </c>
      <c r="K5" s="142" t="s">
        <v>147</v>
      </c>
      <c r="L5" s="57" t="s">
        <v>146</v>
      </c>
      <c r="M5" s="456"/>
      <c r="N5" s="141">
        <f t="shared" ref="N5:N19" si="6">M5*10</f>
        <v>0</v>
      </c>
      <c r="O5" s="142">
        <f t="shared" ref="O5:O19" si="7">IF(ISBLANK(M5),0,IF(M5&lt;=7.6,1,ROUNDUP(N5/76,0)))</f>
        <v>0</v>
      </c>
      <c r="P5" s="55" t="str">
        <f t="shared" ref="P5:P19" si="8">IF(AND(ISNUMBER(SEARCH("living",L5)),O5&gt;0),1,IF(AND(ISNUMBER(SEARCH("dining",L5)),O5&gt;0),1,IF(AND(ISNUMBER(SEARCH("bucatarie",L5)),O5&gt;0),1,IF(AND(ISNUMBER(SEARCH("dormitor",L5)),O5&gt;0),1,IF(AND(ISNUMBER(SEARCH("birou",L5)),O5&gt;0),1,IF(AND(ISNUMBER(SEARCH("baie",L5)),O5&gt;0),1,IF(AND(ISNUMBER(SEARCH("liv.+dining",L5)),O5&gt;0),1,IF(AND(ISNUMBER(SEARCH("camera",L5)),O5&gt;0),1,""))))))))</f>
        <v/>
      </c>
      <c r="Q5" s="57" t="s">
        <v>149</v>
      </c>
      <c r="R5" s="457"/>
      <c r="S5" s="141">
        <f t="shared" ref="S5:S19" si="9">R5*13.3</f>
        <v>0</v>
      </c>
      <c r="T5" s="141">
        <f t="shared" ref="T5:T19" si="10">IF(ISBLANK(R5),0,IF(R5&lt;=5,1,ROUNDUP(S5/60,0)))</f>
        <v>0</v>
      </c>
      <c r="U5" s="55" t="str">
        <f t="shared" ref="U5:U19" si="11">IF(AND(ISNUMBER(SEARCH("living",Q5)),T5&gt;0),1,IF(AND(ISNUMBER(SEARCH("dining",Q5)),T5&gt;0),1,IF(AND(ISNUMBER(SEARCH("bucatarie",Q5)),T5&gt;0),1,IF(AND(ISNUMBER(SEARCH("dormitor",Q5)),T5&gt;0),1,IF(AND(ISNUMBER(SEARCH("birou",Q5)),T5&gt;0),1,IF(AND(ISNUMBER(SEARCH("baie",Q5)),T5&gt;0),1,IF(AND(ISNUMBER(SEARCH("liv.+dining",Q5)),T5&gt;0),1,IF(AND(ISNUMBER(SEARCH("camera",Q5)),T5&gt;0),1,""))))))))</f>
        <v/>
      </c>
      <c r="V5" s="56"/>
      <c r="W5" s="57" t="s">
        <v>146</v>
      </c>
      <c r="X5" s="456"/>
      <c r="Y5" s="141">
        <f t="shared" ref="Y5:Y19" si="12">X5*10</f>
        <v>0</v>
      </c>
      <c r="Z5" s="142">
        <f t="shared" ref="Z5:Z19" si="13">IF(ISBLANK(X5),0,IF(X5&lt;=7.6,1,ROUNDUP(Y5/76,0)))</f>
        <v>0</v>
      </c>
      <c r="AA5" s="55" t="str">
        <f t="shared" ref="AA5:AA19" si="14">IF(AND(ISNUMBER(SEARCH("living",W5)),Z5&gt;0),1,IF(AND(ISNUMBER(SEARCH("dining",W5)),Z5&gt;0),1,IF(AND(ISNUMBER(SEARCH("bucatarie",W5)),Z5&gt;0),1,IF(AND(ISNUMBER(SEARCH("dormitor",W5)),Z5&gt;0),1,IF(AND(ISNUMBER(SEARCH("birou",W5)),Z5&gt;0),1,IF(AND(ISNUMBER(SEARCH("baie",W5)),Z5&gt;0),1,IF(AND(ISNUMBER(SEARCH("liv.+dining",W5)),Z5&gt;0),1,IF(AND(ISNUMBER(SEARCH("camera",W5)),Z5&gt;0),1,""))))))))</f>
        <v/>
      </c>
      <c r="AB5" s="57" t="s">
        <v>149</v>
      </c>
      <c r="AC5" s="457"/>
      <c r="AD5" s="141">
        <f t="shared" ref="AD5:AD19" si="15">AC5*13.3</f>
        <v>0</v>
      </c>
      <c r="AE5" s="141">
        <f t="shared" ref="AE5:AE19" si="16">IF(ISBLANK(AC5),0,IF(AC5&lt;=5,1,ROUNDUP(AD5/60,0)))</f>
        <v>0</v>
      </c>
      <c r="AF5" s="55" t="str">
        <f t="shared" ref="AF5:AF19" si="17">IF(AND(ISNUMBER(SEARCH("living",AB5)),AE5&gt;0),1,IF(AND(ISNUMBER(SEARCH("dining",AB5)),AE5&gt;0),1,IF(AND(ISNUMBER(SEARCH("bucatarie",AB5)),AE5&gt;0),1,IF(AND(ISNUMBER(SEARCH("dormitor",AB5)),AE5&gt;0),1,IF(AND(ISNUMBER(SEARCH("birou",AB5)),AE5&gt;0),1,IF(AND(ISNUMBER(SEARCH("baie",AB5)),AE5&gt;0),1,IF(AND(ISNUMBER(SEARCH("liv.+dining",AB5)),AE5&gt;0),1,IF(AND(ISNUMBER(SEARCH("camera",AB5)),AE5&gt;0),1,""))))))))</f>
        <v/>
      </c>
      <c r="AG5" s="56"/>
    </row>
    <row r="6" spans="1:33" ht="16.05" customHeight="1" thickTop="1" thickBot="1">
      <c r="A6" s="57" t="s">
        <v>149</v>
      </c>
      <c r="B6" s="456"/>
      <c r="C6" s="141">
        <f t="shared" si="0"/>
        <v>0</v>
      </c>
      <c r="D6" s="142">
        <f t="shared" si="1"/>
        <v>0</v>
      </c>
      <c r="E6" s="55" t="str">
        <f t="shared" si="2"/>
        <v/>
      </c>
      <c r="F6" s="57" t="s">
        <v>148</v>
      </c>
      <c r="G6" s="457"/>
      <c r="H6" s="141">
        <f t="shared" si="3"/>
        <v>0</v>
      </c>
      <c r="I6" s="141">
        <f t="shared" si="4"/>
        <v>0</v>
      </c>
      <c r="J6" s="55" t="str">
        <f t="shared" si="5"/>
        <v/>
      </c>
      <c r="K6" s="142" t="s">
        <v>148</v>
      </c>
      <c r="L6" s="57" t="s">
        <v>147</v>
      </c>
      <c r="M6" s="456"/>
      <c r="N6" s="141">
        <f t="shared" si="6"/>
        <v>0</v>
      </c>
      <c r="O6" s="142">
        <f t="shared" si="7"/>
        <v>0</v>
      </c>
      <c r="P6" s="55" t="str">
        <f t="shared" si="8"/>
        <v/>
      </c>
      <c r="Q6" s="57" t="s">
        <v>148</v>
      </c>
      <c r="R6" s="457"/>
      <c r="S6" s="141">
        <f t="shared" si="9"/>
        <v>0</v>
      </c>
      <c r="T6" s="141">
        <f t="shared" si="10"/>
        <v>0</v>
      </c>
      <c r="U6" s="55" t="str">
        <f t="shared" si="11"/>
        <v/>
      </c>
      <c r="V6" s="56"/>
      <c r="W6" s="57" t="s">
        <v>147</v>
      </c>
      <c r="X6" s="456"/>
      <c r="Y6" s="141">
        <f t="shared" si="12"/>
        <v>0</v>
      </c>
      <c r="Z6" s="142">
        <f t="shared" si="13"/>
        <v>0</v>
      </c>
      <c r="AA6" s="55" t="str">
        <f t="shared" si="14"/>
        <v/>
      </c>
      <c r="AB6" s="57" t="s">
        <v>148</v>
      </c>
      <c r="AC6" s="457"/>
      <c r="AD6" s="141">
        <f t="shared" si="15"/>
        <v>0</v>
      </c>
      <c r="AE6" s="141">
        <f t="shared" si="16"/>
        <v>0</v>
      </c>
      <c r="AF6" s="55" t="str">
        <f t="shared" si="17"/>
        <v/>
      </c>
      <c r="AG6" s="56"/>
    </row>
    <row r="7" spans="1:33" ht="16.05" customHeight="1" thickTop="1" thickBot="1">
      <c r="A7" s="57" t="s">
        <v>148</v>
      </c>
      <c r="B7" s="456"/>
      <c r="C7" s="141">
        <f t="shared" si="0"/>
        <v>0</v>
      </c>
      <c r="D7" s="142">
        <f t="shared" si="1"/>
        <v>0</v>
      </c>
      <c r="E7" s="55" t="str">
        <f t="shared" si="2"/>
        <v/>
      </c>
      <c r="F7" s="57" t="s">
        <v>149</v>
      </c>
      <c r="G7" s="457"/>
      <c r="H7" s="141">
        <f t="shared" si="3"/>
        <v>0</v>
      </c>
      <c r="I7" s="141">
        <f t="shared" si="4"/>
        <v>0</v>
      </c>
      <c r="J7" s="55" t="str">
        <f t="shared" si="5"/>
        <v/>
      </c>
      <c r="K7" s="142" t="s">
        <v>149</v>
      </c>
      <c r="L7" s="57" t="s">
        <v>148</v>
      </c>
      <c r="M7" s="456"/>
      <c r="N7" s="141">
        <f t="shared" si="6"/>
        <v>0</v>
      </c>
      <c r="O7" s="142">
        <f t="shared" si="7"/>
        <v>0</v>
      </c>
      <c r="P7" s="55" t="str">
        <f t="shared" si="8"/>
        <v/>
      </c>
      <c r="Q7" s="57" t="s">
        <v>149</v>
      </c>
      <c r="R7" s="457"/>
      <c r="S7" s="141">
        <f t="shared" si="9"/>
        <v>0</v>
      </c>
      <c r="T7" s="141">
        <f t="shared" si="10"/>
        <v>0</v>
      </c>
      <c r="U7" s="55" t="str">
        <f t="shared" si="11"/>
        <v/>
      </c>
      <c r="V7" s="56"/>
      <c r="W7" s="57" t="s">
        <v>148</v>
      </c>
      <c r="X7" s="456"/>
      <c r="Y7" s="141">
        <f t="shared" si="12"/>
        <v>0</v>
      </c>
      <c r="Z7" s="142">
        <f t="shared" si="13"/>
        <v>0</v>
      </c>
      <c r="AA7" s="55" t="str">
        <f t="shared" si="14"/>
        <v/>
      </c>
      <c r="AB7" s="57" t="s">
        <v>149</v>
      </c>
      <c r="AC7" s="457"/>
      <c r="AD7" s="141">
        <f t="shared" si="15"/>
        <v>0</v>
      </c>
      <c r="AE7" s="141">
        <f t="shared" si="16"/>
        <v>0</v>
      </c>
      <c r="AF7" s="55" t="str">
        <f t="shared" si="17"/>
        <v/>
      </c>
      <c r="AG7" s="56"/>
    </row>
    <row r="8" spans="1:33" ht="16.05" customHeight="1" thickTop="1" thickBot="1">
      <c r="A8" s="57" t="s">
        <v>540</v>
      </c>
      <c r="B8" s="456"/>
      <c r="C8" s="141">
        <f t="shared" si="0"/>
        <v>0</v>
      </c>
      <c r="D8" s="142">
        <f t="shared" si="1"/>
        <v>0</v>
      </c>
      <c r="E8" s="55" t="str">
        <f t="shared" si="2"/>
        <v/>
      </c>
      <c r="F8" s="57" t="s">
        <v>153</v>
      </c>
      <c r="G8" s="457"/>
      <c r="H8" s="141">
        <f t="shared" si="3"/>
        <v>0</v>
      </c>
      <c r="I8" s="141">
        <f t="shared" si="4"/>
        <v>0</v>
      </c>
      <c r="J8" s="55" t="str">
        <f t="shared" si="5"/>
        <v/>
      </c>
      <c r="K8" s="142" t="s">
        <v>154</v>
      </c>
      <c r="L8" s="57" t="s">
        <v>146</v>
      </c>
      <c r="M8" s="456"/>
      <c r="N8" s="141">
        <f t="shared" si="6"/>
        <v>0</v>
      </c>
      <c r="O8" s="142">
        <f t="shared" si="7"/>
        <v>0</v>
      </c>
      <c r="P8" s="55" t="str">
        <f t="shared" si="8"/>
        <v/>
      </c>
      <c r="Q8" s="57" t="s">
        <v>153</v>
      </c>
      <c r="R8" s="457"/>
      <c r="S8" s="141">
        <f t="shared" si="9"/>
        <v>0</v>
      </c>
      <c r="T8" s="141">
        <f t="shared" si="10"/>
        <v>0</v>
      </c>
      <c r="U8" s="55" t="str">
        <f t="shared" si="11"/>
        <v/>
      </c>
      <c r="V8" s="56"/>
      <c r="W8" s="57" t="s">
        <v>146</v>
      </c>
      <c r="X8" s="456"/>
      <c r="Y8" s="141">
        <f t="shared" si="12"/>
        <v>0</v>
      </c>
      <c r="Z8" s="142">
        <f t="shared" si="13"/>
        <v>0</v>
      </c>
      <c r="AA8" s="55" t="str">
        <f t="shared" si="14"/>
        <v/>
      </c>
      <c r="AB8" s="57" t="s">
        <v>153</v>
      </c>
      <c r="AC8" s="457"/>
      <c r="AD8" s="141">
        <f t="shared" si="15"/>
        <v>0</v>
      </c>
      <c r="AE8" s="141">
        <f t="shared" si="16"/>
        <v>0</v>
      </c>
      <c r="AF8" s="55" t="str">
        <f t="shared" si="17"/>
        <v/>
      </c>
      <c r="AG8" s="56"/>
    </row>
    <row r="9" spans="1:33" ht="16.05" customHeight="1" thickTop="1" thickBot="1">
      <c r="A9" s="57" t="s">
        <v>153</v>
      </c>
      <c r="B9" s="456"/>
      <c r="C9" s="141">
        <f t="shared" si="0"/>
        <v>0</v>
      </c>
      <c r="D9" s="142">
        <f t="shared" si="1"/>
        <v>0</v>
      </c>
      <c r="E9" s="55" t="str">
        <f t="shared" si="2"/>
        <v/>
      </c>
      <c r="F9" s="57" t="s">
        <v>159</v>
      </c>
      <c r="G9" s="457"/>
      <c r="H9" s="141">
        <f t="shared" si="3"/>
        <v>0</v>
      </c>
      <c r="I9" s="141">
        <f t="shared" si="4"/>
        <v>0</v>
      </c>
      <c r="J9" s="55" t="str">
        <f t="shared" si="5"/>
        <v/>
      </c>
      <c r="K9" s="142" t="s">
        <v>155</v>
      </c>
      <c r="L9" s="57" t="s">
        <v>153</v>
      </c>
      <c r="M9" s="456"/>
      <c r="N9" s="141">
        <f t="shared" si="6"/>
        <v>0</v>
      </c>
      <c r="O9" s="142">
        <f t="shared" si="7"/>
        <v>0</v>
      </c>
      <c r="P9" s="55" t="str">
        <f t="shared" si="8"/>
        <v/>
      </c>
      <c r="Q9" s="57" t="s">
        <v>159</v>
      </c>
      <c r="R9" s="457"/>
      <c r="S9" s="141">
        <f t="shared" si="9"/>
        <v>0</v>
      </c>
      <c r="T9" s="141">
        <f t="shared" si="10"/>
        <v>0</v>
      </c>
      <c r="U9" s="55" t="str">
        <f t="shared" si="11"/>
        <v/>
      </c>
      <c r="V9" s="56"/>
      <c r="W9" s="57" t="s">
        <v>153</v>
      </c>
      <c r="X9" s="456"/>
      <c r="Y9" s="141">
        <f t="shared" si="12"/>
        <v>0</v>
      </c>
      <c r="Z9" s="142">
        <f t="shared" si="13"/>
        <v>0</v>
      </c>
      <c r="AA9" s="55" t="str">
        <f t="shared" si="14"/>
        <v/>
      </c>
      <c r="AB9" s="57" t="s">
        <v>159</v>
      </c>
      <c r="AC9" s="457"/>
      <c r="AD9" s="141">
        <f t="shared" si="15"/>
        <v>0</v>
      </c>
      <c r="AE9" s="141">
        <f t="shared" si="16"/>
        <v>0</v>
      </c>
      <c r="AF9" s="55" t="str">
        <f t="shared" si="17"/>
        <v/>
      </c>
      <c r="AG9" s="56"/>
    </row>
    <row r="10" spans="1:33" ht="16.05" customHeight="1" thickTop="1" thickBot="1">
      <c r="A10" s="60" t="s">
        <v>150</v>
      </c>
      <c r="B10" s="456"/>
      <c r="C10" s="141">
        <f t="shared" si="0"/>
        <v>0</v>
      </c>
      <c r="D10" s="142">
        <f t="shared" si="1"/>
        <v>0</v>
      </c>
      <c r="E10" s="55" t="str">
        <f t="shared" si="2"/>
        <v/>
      </c>
      <c r="F10" s="60" t="s">
        <v>150</v>
      </c>
      <c r="G10" s="457"/>
      <c r="H10" s="141">
        <f t="shared" si="3"/>
        <v>0</v>
      </c>
      <c r="I10" s="141">
        <f t="shared" si="4"/>
        <v>0</v>
      </c>
      <c r="J10" s="55" t="str">
        <f t="shared" si="5"/>
        <v/>
      </c>
      <c r="K10" s="142" t="s">
        <v>152</v>
      </c>
      <c r="L10" s="60" t="s">
        <v>150</v>
      </c>
      <c r="M10" s="456"/>
      <c r="N10" s="141">
        <f t="shared" si="6"/>
        <v>0</v>
      </c>
      <c r="O10" s="142">
        <f t="shared" si="7"/>
        <v>0</v>
      </c>
      <c r="P10" s="55" t="str">
        <f t="shared" si="8"/>
        <v/>
      </c>
      <c r="Q10" s="60" t="s">
        <v>150</v>
      </c>
      <c r="R10" s="457"/>
      <c r="S10" s="141">
        <f t="shared" si="9"/>
        <v>0</v>
      </c>
      <c r="T10" s="141">
        <f t="shared" si="10"/>
        <v>0</v>
      </c>
      <c r="U10" s="55" t="str">
        <f t="shared" si="11"/>
        <v/>
      </c>
      <c r="V10" s="56"/>
      <c r="W10" s="60" t="s">
        <v>150</v>
      </c>
      <c r="X10" s="456"/>
      <c r="Y10" s="141">
        <f t="shared" si="12"/>
        <v>0</v>
      </c>
      <c r="Z10" s="142">
        <f t="shared" si="13"/>
        <v>0</v>
      </c>
      <c r="AA10" s="55" t="str">
        <f t="shared" si="14"/>
        <v/>
      </c>
      <c r="AB10" s="60" t="s">
        <v>150</v>
      </c>
      <c r="AC10" s="457"/>
      <c r="AD10" s="141">
        <f t="shared" si="15"/>
        <v>0</v>
      </c>
      <c r="AE10" s="141">
        <f t="shared" si="16"/>
        <v>0</v>
      </c>
      <c r="AF10" s="55" t="str">
        <f t="shared" si="17"/>
        <v/>
      </c>
      <c r="AG10" s="56"/>
    </row>
    <row r="11" spans="1:33" ht="16.05" customHeight="1" thickTop="1" thickBot="1">
      <c r="A11" s="60" t="s">
        <v>151</v>
      </c>
      <c r="B11" s="456"/>
      <c r="C11" s="141">
        <f t="shared" si="0"/>
        <v>0</v>
      </c>
      <c r="D11" s="142">
        <f t="shared" si="1"/>
        <v>0</v>
      </c>
      <c r="E11" s="55" t="str">
        <f t="shared" si="2"/>
        <v/>
      </c>
      <c r="F11" s="60" t="s">
        <v>289</v>
      </c>
      <c r="G11" s="457"/>
      <c r="H11" s="141">
        <f t="shared" si="3"/>
        <v>0</v>
      </c>
      <c r="I11" s="141">
        <f t="shared" si="4"/>
        <v>0</v>
      </c>
      <c r="J11" s="55" t="str">
        <f t="shared" si="5"/>
        <v/>
      </c>
      <c r="K11" s="142" t="s">
        <v>221</v>
      </c>
      <c r="L11" s="60" t="s">
        <v>151</v>
      </c>
      <c r="M11" s="456"/>
      <c r="N11" s="141">
        <f t="shared" si="6"/>
        <v>0</v>
      </c>
      <c r="O11" s="142">
        <f t="shared" si="7"/>
        <v>0</v>
      </c>
      <c r="P11" s="55" t="str">
        <f t="shared" si="8"/>
        <v/>
      </c>
      <c r="Q11" s="60" t="s">
        <v>289</v>
      </c>
      <c r="R11" s="457"/>
      <c r="S11" s="141">
        <f t="shared" si="9"/>
        <v>0</v>
      </c>
      <c r="T11" s="141">
        <f t="shared" si="10"/>
        <v>0</v>
      </c>
      <c r="U11" s="55" t="str">
        <f t="shared" si="11"/>
        <v/>
      </c>
      <c r="V11" s="56"/>
      <c r="W11" s="60" t="s">
        <v>151</v>
      </c>
      <c r="X11" s="456"/>
      <c r="Y11" s="141">
        <f t="shared" si="12"/>
        <v>0</v>
      </c>
      <c r="Z11" s="142">
        <f t="shared" si="13"/>
        <v>0</v>
      </c>
      <c r="AA11" s="55" t="str">
        <f t="shared" si="14"/>
        <v/>
      </c>
      <c r="AB11" s="60" t="s">
        <v>289</v>
      </c>
      <c r="AC11" s="457"/>
      <c r="AD11" s="141">
        <f t="shared" si="15"/>
        <v>0</v>
      </c>
      <c r="AE11" s="141">
        <f t="shared" si="16"/>
        <v>0</v>
      </c>
      <c r="AF11" s="55" t="str">
        <f t="shared" si="17"/>
        <v/>
      </c>
      <c r="AG11" s="56"/>
    </row>
    <row r="12" spans="1:33" ht="16.05" customHeight="1" thickTop="1" thickBot="1">
      <c r="A12" s="60" t="s">
        <v>152</v>
      </c>
      <c r="B12" s="456"/>
      <c r="C12" s="141">
        <f t="shared" si="0"/>
        <v>0</v>
      </c>
      <c r="D12" s="142">
        <f t="shared" si="1"/>
        <v>0</v>
      </c>
      <c r="E12" s="55" t="str">
        <f t="shared" si="2"/>
        <v/>
      </c>
      <c r="F12" s="60" t="s">
        <v>152</v>
      </c>
      <c r="G12" s="457"/>
      <c r="H12" s="141">
        <f t="shared" si="3"/>
        <v>0</v>
      </c>
      <c r="I12" s="141">
        <f t="shared" si="4"/>
        <v>0</v>
      </c>
      <c r="J12" s="55" t="str">
        <f t="shared" si="5"/>
        <v/>
      </c>
      <c r="K12" s="56"/>
      <c r="L12" s="60" t="s">
        <v>221</v>
      </c>
      <c r="M12" s="456"/>
      <c r="N12" s="141">
        <f t="shared" si="6"/>
        <v>0</v>
      </c>
      <c r="O12" s="142">
        <f t="shared" si="7"/>
        <v>0</v>
      </c>
      <c r="P12" s="55" t="str">
        <f t="shared" si="8"/>
        <v/>
      </c>
      <c r="Q12" s="60" t="s">
        <v>152</v>
      </c>
      <c r="R12" s="457"/>
      <c r="S12" s="141">
        <f t="shared" si="9"/>
        <v>0</v>
      </c>
      <c r="T12" s="141">
        <f t="shared" si="10"/>
        <v>0</v>
      </c>
      <c r="U12" s="55" t="str">
        <f t="shared" si="11"/>
        <v/>
      </c>
      <c r="V12" s="56"/>
      <c r="W12" s="60" t="s">
        <v>221</v>
      </c>
      <c r="X12" s="456"/>
      <c r="Y12" s="141">
        <f t="shared" si="12"/>
        <v>0</v>
      </c>
      <c r="Z12" s="142">
        <f t="shared" si="13"/>
        <v>0</v>
      </c>
      <c r="AA12" s="55" t="str">
        <f t="shared" si="14"/>
        <v/>
      </c>
      <c r="AB12" s="60" t="s">
        <v>152</v>
      </c>
      <c r="AC12" s="457"/>
      <c r="AD12" s="141">
        <f t="shared" si="15"/>
        <v>0</v>
      </c>
      <c r="AE12" s="141">
        <f t="shared" si="16"/>
        <v>0</v>
      </c>
      <c r="AF12" s="55" t="str">
        <f t="shared" si="17"/>
        <v/>
      </c>
      <c r="AG12" s="56"/>
    </row>
    <row r="13" spans="1:33" ht="16.05" customHeight="1" thickTop="1" thickBot="1">
      <c r="A13" s="60" t="s">
        <v>190</v>
      </c>
      <c r="B13" s="456"/>
      <c r="C13" s="141">
        <f t="shared" si="0"/>
        <v>0</v>
      </c>
      <c r="D13" s="142">
        <f t="shared" si="1"/>
        <v>0</v>
      </c>
      <c r="E13" s="55" t="str">
        <f t="shared" si="2"/>
        <v/>
      </c>
      <c r="F13" s="60" t="s">
        <v>286</v>
      </c>
      <c r="G13" s="457"/>
      <c r="H13" s="141">
        <f t="shared" si="3"/>
        <v>0</v>
      </c>
      <c r="I13" s="141">
        <f t="shared" si="4"/>
        <v>0</v>
      </c>
      <c r="J13" s="55" t="str">
        <f t="shared" si="5"/>
        <v/>
      </c>
      <c r="K13" s="56"/>
      <c r="L13" s="60" t="s">
        <v>190</v>
      </c>
      <c r="M13" s="456"/>
      <c r="N13" s="141">
        <f t="shared" si="6"/>
        <v>0</v>
      </c>
      <c r="O13" s="142">
        <f t="shared" si="7"/>
        <v>0</v>
      </c>
      <c r="P13" s="55" t="str">
        <f t="shared" si="8"/>
        <v/>
      </c>
      <c r="Q13" s="60" t="s">
        <v>286</v>
      </c>
      <c r="R13" s="457"/>
      <c r="S13" s="141">
        <f t="shared" si="9"/>
        <v>0</v>
      </c>
      <c r="T13" s="141">
        <f t="shared" si="10"/>
        <v>0</v>
      </c>
      <c r="U13" s="55" t="str">
        <f t="shared" si="11"/>
        <v/>
      </c>
      <c r="V13" s="56"/>
      <c r="W13" s="60" t="s">
        <v>190</v>
      </c>
      <c r="X13" s="456"/>
      <c r="Y13" s="141">
        <f t="shared" si="12"/>
        <v>0</v>
      </c>
      <c r="Z13" s="142">
        <f t="shared" si="13"/>
        <v>0</v>
      </c>
      <c r="AA13" s="55" t="str">
        <f t="shared" si="14"/>
        <v/>
      </c>
      <c r="AB13" s="60" t="s">
        <v>286</v>
      </c>
      <c r="AC13" s="457"/>
      <c r="AD13" s="141">
        <f t="shared" si="15"/>
        <v>0</v>
      </c>
      <c r="AE13" s="141">
        <f t="shared" si="16"/>
        <v>0</v>
      </c>
      <c r="AF13" s="55" t="str">
        <f t="shared" si="17"/>
        <v/>
      </c>
      <c r="AG13" s="56"/>
    </row>
    <row r="14" spans="1:33" ht="16.05" customHeight="1" thickTop="1" thickBot="1">
      <c r="A14" s="60" t="s">
        <v>155</v>
      </c>
      <c r="B14" s="456"/>
      <c r="C14" s="141">
        <f t="shared" si="0"/>
        <v>0</v>
      </c>
      <c r="D14" s="142">
        <f t="shared" si="1"/>
        <v>0</v>
      </c>
      <c r="E14" s="55" t="str">
        <f t="shared" si="2"/>
        <v/>
      </c>
      <c r="F14" s="60" t="s">
        <v>152</v>
      </c>
      <c r="G14" s="457"/>
      <c r="H14" s="141">
        <f t="shared" si="3"/>
        <v>0</v>
      </c>
      <c r="I14" s="141">
        <f t="shared" si="4"/>
        <v>0</v>
      </c>
      <c r="J14" s="55" t="str">
        <f t="shared" si="5"/>
        <v/>
      </c>
      <c r="K14" s="56"/>
      <c r="L14" s="60" t="s">
        <v>155</v>
      </c>
      <c r="M14" s="456"/>
      <c r="N14" s="141">
        <f t="shared" si="6"/>
        <v>0</v>
      </c>
      <c r="O14" s="142">
        <f t="shared" si="7"/>
        <v>0</v>
      </c>
      <c r="P14" s="55" t="str">
        <f t="shared" si="8"/>
        <v/>
      </c>
      <c r="Q14" s="60" t="s">
        <v>152</v>
      </c>
      <c r="R14" s="457"/>
      <c r="S14" s="141">
        <f t="shared" si="9"/>
        <v>0</v>
      </c>
      <c r="T14" s="141">
        <f t="shared" si="10"/>
        <v>0</v>
      </c>
      <c r="U14" s="55" t="str">
        <f t="shared" si="11"/>
        <v/>
      </c>
      <c r="V14" s="56"/>
      <c r="W14" s="60" t="s">
        <v>155</v>
      </c>
      <c r="X14" s="456"/>
      <c r="Y14" s="141">
        <f t="shared" si="12"/>
        <v>0</v>
      </c>
      <c r="Z14" s="142">
        <f t="shared" si="13"/>
        <v>0</v>
      </c>
      <c r="AA14" s="55" t="str">
        <f t="shared" si="14"/>
        <v/>
      </c>
      <c r="AB14" s="60" t="s">
        <v>152</v>
      </c>
      <c r="AC14" s="457"/>
      <c r="AD14" s="141">
        <f t="shared" si="15"/>
        <v>0</v>
      </c>
      <c r="AE14" s="141">
        <f t="shared" si="16"/>
        <v>0</v>
      </c>
      <c r="AF14" s="55" t="str">
        <f t="shared" si="17"/>
        <v/>
      </c>
      <c r="AG14" s="56"/>
    </row>
    <row r="15" spans="1:33" ht="16.05" customHeight="1" thickTop="1" thickBot="1">
      <c r="A15" s="57" t="s">
        <v>155</v>
      </c>
      <c r="B15" s="456"/>
      <c r="C15" s="141">
        <f t="shared" si="0"/>
        <v>0</v>
      </c>
      <c r="D15" s="142">
        <f t="shared" si="1"/>
        <v>0</v>
      </c>
      <c r="E15" s="55" t="str">
        <f t="shared" si="2"/>
        <v/>
      </c>
      <c r="F15" s="57" t="s">
        <v>154</v>
      </c>
      <c r="G15" s="457"/>
      <c r="H15" s="141">
        <f t="shared" si="3"/>
        <v>0</v>
      </c>
      <c r="I15" s="141">
        <f t="shared" si="4"/>
        <v>0</v>
      </c>
      <c r="J15" s="55" t="str">
        <f t="shared" si="5"/>
        <v/>
      </c>
      <c r="K15" s="56"/>
      <c r="L15" s="57" t="s">
        <v>155</v>
      </c>
      <c r="M15" s="456"/>
      <c r="N15" s="141">
        <f t="shared" si="6"/>
        <v>0</v>
      </c>
      <c r="O15" s="142">
        <f t="shared" si="7"/>
        <v>0</v>
      </c>
      <c r="P15" s="55" t="str">
        <f t="shared" si="8"/>
        <v/>
      </c>
      <c r="Q15" s="57" t="s">
        <v>154</v>
      </c>
      <c r="R15" s="457"/>
      <c r="S15" s="141">
        <f t="shared" si="9"/>
        <v>0</v>
      </c>
      <c r="T15" s="141">
        <f t="shared" si="10"/>
        <v>0</v>
      </c>
      <c r="U15" s="55" t="str">
        <f t="shared" si="11"/>
        <v/>
      </c>
      <c r="V15" s="56"/>
      <c r="W15" s="57" t="s">
        <v>155</v>
      </c>
      <c r="X15" s="456"/>
      <c r="Y15" s="141">
        <f t="shared" si="12"/>
        <v>0</v>
      </c>
      <c r="Z15" s="142">
        <f t="shared" si="13"/>
        <v>0</v>
      </c>
      <c r="AA15" s="55" t="str">
        <f t="shared" si="14"/>
        <v/>
      </c>
      <c r="AB15" s="57" t="s">
        <v>154</v>
      </c>
      <c r="AC15" s="457"/>
      <c r="AD15" s="141">
        <f t="shared" si="15"/>
        <v>0</v>
      </c>
      <c r="AE15" s="141">
        <f t="shared" si="16"/>
        <v>0</v>
      </c>
      <c r="AF15" s="55" t="str">
        <f t="shared" si="17"/>
        <v/>
      </c>
      <c r="AG15" s="56"/>
    </row>
    <row r="16" spans="1:33" ht="16.05" customHeight="1" thickTop="1" thickBot="1">
      <c r="A16" s="60" t="s">
        <v>166</v>
      </c>
      <c r="B16" s="456"/>
      <c r="C16" s="141">
        <f t="shared" si="0"/>
        <v>0</v>
      </c>
      <c r="D16" s="142">
        <f t="shared" si="1"/>
        <v>0</v>
      </c>
      <c r="E16" s="55" t="str">
        <f t="shared" si="2"/>
        <v/>
      </c>
      <c r="F16" s="60" t="s">
        <v>166</v>
      </c>
      <c r="G16" s="457"/>
      <c r="H16" s="141">
        <f t="shared" si="3"/>
        <v>0</v>
      </c>
      <c r="I16" s="141">
        <f t="shared" si="4"/>
        <v>0</v>
      </c>
      <c r="J16" s="55" t="str">
        <f t="shared" si="5"/>
        <v/>
      </c>
      <c r="K16" s="56"/>
      <c r="L16" s="60" t="s">
        <v>166</v>
      </c>
      <c r="M16" s="456"/>
      <c r="N16" s="141">
        <f t="shared" si="6"/>
        <v>0</v>
      </c>
      <c r="O16" s="142">
        <f t="shared" si="7"/>
        <v>0</v>
      </c>
      <c r="P16" s="55" t="str">
        <f t="shared" si="8"/>
        <v/>
      </c>
      <c r="Q16" s="60" t="s">
        <v>166</v>
      </c>
      <c r="R16" s="457"/>
      <c r="S16" s="141">
        <f t="shared" si="9"/>
        <v>0</v>
      </c>
      <c r="T16" s="141">
        <f t="shared" si="10"/>
        <v>0</v>
      </c>
      <c r="U16" s="55" t="str">
        <f t="shared" si="11"/>
        <v/>
      </c>
      <c r="V16" s="56"/>
      <c r="W16" s="60" t="s">
        <v>166</v>
      </c>
      <c r="X16" s="456"/>
      <c r="Y16" s="141">
        <f t="shared" si="12"/>
        <v>0</v>
      </c>
      <c r="Z16" s="142">
        <f t="shared" si="13"/>
        <v>0</v>
      </c>
      <c r="AA16" s="55" t="str">
        <f t="shared" si="14"/>
        <v/>
      </c>
      <c r="AB16" s="60" t="s">
        <v>166</v>
      </c>
      <c r="AC16" s="457"/>
      <c r="AD16" s="141">
        <f t="shared" si="15"/>
        <v>0</v>
      </c>
      <c r="AE16" s="141">
        <f t="shared" si="16"/>
        <v>0</v>
      </c>
      <c r="AF16" s="55" t="str">
        <f t="shared" si="17"/>
        <v/>
      </c>
      <c r="AG16" s="56"/>
    </row>
    <row r="17" spans="1:34" ht="16.05" customHeight="1" thickTop="1" thickBot="1">
      <c r="A17" s="57" t="s">
        <v>154</v>
      </c>
      <c r="B17" s="456"/>
      <c r="C17" s="141">
        <f t="shared" si="0"/>
        <v>0</v>
      </c>
      <c r="D17" s="142">
        <f t="shared" si="1"/>
        <v>0</v>
      </c>
      <c r="E17" s="55" t="str">
        <f t="shared" si="2"/>
        <v/>
      </c>
      <c r="F17" s="57" t="s">
        <v>154</v>
      </c>
      <c r="G17" s="457"/>
      <c r="H17" s="141">
        <f t="shared" si="3"/>
        <v>0</v>
      </c>
      <c r="I17" s="141">
        <f t="shared" si="4"/>
        <v>0</v>
      </c>
      <c r="J17" s="55" t="str">
        <f t="shared" si="5"/>
        <v/>
      </c>
      <c r="K17" s="56"/>
      <c r="L17" s="57" t="s">
        <v>154</v>
      </c>
      <c r="M17" s="456"/>
      <c r="N17" s="141">
        <f t="shared" si="6"/>
        <v>0</v>
      </c>
      <c r="O17" s="142">
        <f t="shared" si="7"/>
        <v>0</v>
      </c>
      <c r="P17" s="55" t="str">
        <f t="shared" si="8"/>
        <v/>
      </c>
      <c r="Q17" s="57" t="s">
        <v>154</v>
      </c>
      <c r="R17" s="457"/>
      <c r="S17" s="141">
        <f t="shared" si="9"/>
        <v>0</v>
      </c>
      <c r="T17" s="141">
        <f t="shared" si="10"/>
        <v>0</v>
      </c>
      <c r="U17" s="55" t="str">
        <f t="shared" si="11"/>
        <v/>
      </c>
      <c r="V17" s="56"/>
      <c r="W17" s="57" t="s">
        <v>154</v>
      </c>
      <c r="X17" s="456"/>
      <c r="Y17" s="141">
        <f t="shared" si="12"/>
        <v>0</v>
      </c>
      <c r="Z17" s="142">
        <f t="shared" si="13"/>
        <v>0</v>
      </c>
      <c r="AA17" s="55" t="str">
        <f t="shared" si="14"/>
        <v/>
      </c>
      <c r="AB17" s="57" t="s">
        <v>154</v>
      </c>
      <c r="AC17" s="457"/>
      <c r="AD17" s="141">
        <f t="shared" si="15"/>
        <v>0</v>
      </c>
      <c r="AE17" s="141">
        <f t="shared" si="16"/>
        <v>0</v>
      </c>
      <c r="AF17" s="55" t="str">
        <f t="shared" si="17"/>
        <v/>
      </c>
      <c r="AG17" s="56"/>
    </row>
    <row r="18" spans="1:34" ht="16.05" customHeight="1" thickTop="1" thickBot="1">
      <c r="A18" s="57" t="s">
        <v>154</v>
      </c>
      <c r="B18" s="456"/>
      <c r="C18" s="141">
        <f t="shared" si="0"/>
        <v>0</v>
      </c>
      <c r="D18" s="142">
        <f t="shared" si="1"/>
        <v>0</v>
      </c>
      <c r="E18" s="55" t="str">
        <f t="shared" si="2"/>
        <v/>
      </c>
      <c r="F18" s="57" t="s">
        <v>154</v>
      </c>
      <c r="G18" s="457"/>
      <c r="H18" s="141">
        <f t="shared" si="3"/>
        <v>0</v>
      </c>
      <c r="I18" s="141">
        <f t="shared" si="4"/>
        <v>0</v>
      </c>
      <c r="J18" s="55" t="str">
        <f t="shared" si="5"/>
        <v/>
      </c>
      <c r="K18" s="56"/>
      <c r="L18" s="57" t="s">
        <v>154</v>
      </c>
      <c r="M18" s="456"/>
      <c r="N18" s="141">
        <f t="shared" si="6"/>
        <v>0</v>
      </c>
      <c r="O18" s="142">
        <f t="shared" si="7"/>
        <v>0</v>
      </c>
      <c r="P18" s="55" t="str">
        <f t="shared" si="8"/>
        <v/>
      </c>
      <c r="Q18" s="57" t="s">
        <v>154</v>
      </c>
      <c r="R18" s="457"/>
      <c r="S18" s="141">
        <f t="shared" si="9"/>
        <v>0</v>
      </c>
      <c r="T18" s="141">
        <f t="shared" si="10"/>
        <v>0</v>
      </c>
      <c r="U18" s="55" t="str">
        <f t="shared" si="11"/>
        <v/>
      </c>
      <c r="V18" s="56"/>
      <c r="W18" s="57" t="s">
        <v>154</v>
      </c>
      <c r="X18" s="456"/>
      <c r="Y18" s="141">
        <f t="shared" si="12"/>
        <v>0</v>
      </c>
      <c r="Z18" s="142">
        <f t="shared" si="13"/>
        <v>0</v>
      </c>
      <c r="AA18" s="55" t="str">
        <f t="shared" si="14"/>
        <v/>
      </c>
      <c r="AB18" s="57" t="s">
        <v>154</v>
      </c>
      <c r="AC18" s="457"/>
      <c r="AD18" s="141">
        <f t="shared" si="15"/>
        <v>0</v>
      </c>
      <c r="AE18" s="141">
        <f t="shared" si="16"/>
        <v>0</v>
      </c>
      <c r="AF18" s="55" t="str">
        <f t="shared" si="17"/>
        <v/>
      </c>
      <c r="AG18" s="56"/>
    </row>
    <row r="19" spans="1:34" ht="16.05" customHeight="1" thickTop="1" thickBot="1">
      <c r="A19" s="57" t="s">
        <v>154</v>
      </c>
      <c r="B19" s="456"/>
      <c r="C19" s="141">
        <f t="shared" si="0"/>
        <v>0</v>
      </c>
      <c r="D19" s="142">
        <f t="shared" si="1"/>
        <v>0</v>
      </c>
      <c r="E19" s="55" t="str">
        <f t="shared" si="2"/>
        <v/>
      </c>
      <c r="F19" s="57" t="s">
        <v>154</v>
      </c>
      <c r="G19" s="457"/>
      <c r="H19" s="141">
        <f t="shared" si="3"/>
        <v>0</v>
      </c>
      <c r="I19" s="141">
        <f t="shared" si="4"/>
        <v>0</v>
      </c>
      <c r="J19" s="55" t="str">
        <f t="shared" si="5"/>
        <v/>
      </c>
      <c r="K19" s="56"/>
      <c r="L19" s="57" t="s">
        <v>154</v>
      </c>
      <c r="M19" s="458"/>
      <c r="N19" s="141">
        <f t="shared" si="6"/>
        <v>0</v>
      </c>
      <c r="O19" s="142">
        <f t="shared" si="7"/>
        <v>0</v>
      </c>
      <c r="P19" s="55" t="str">
        <f t="shared" si="8"/>
        <v/>
      </c>
      <c r="Q19" s="57" t="s">
        <v>154</v>
      </c>
      <c r="R19" s="457"/>
      <c r="S19" s="141">
        <f t="shared" si="9"/>
        <v>0</v>
      </c>
      <c r="T19" s="141">
        <f t="shared" si="10"/>
        <v>0</v>
      </c>
      <c r="U19" s="55" t="str">
        <f t="shared" si="11"/>
        <v/>
      </c>
      <c r="V19" s="56"/>
      <c r="W19" s="57" t="s">
        <v>154</v>
      </c>
      <c r="X19" s="456"/>
      <c r="Y19" s="141">
        <f t="shared" si="12"/>
        <v>0</v>
      </c>
      <c r="Z19" s="142">
        <f t="shared" si="13"/>
        <v>0</v>
      </c>
      <c r="AA19" s="55" t="str">
        <f t="shared" si="14"/>
        <v/>
      </c>
      <c r="AB19" s="57" t="s">
        <v>154</v>
      </c>
      <c r="AC19" s="457"/>
      <c r="AD19" s="141">
        <f t="shared" si="15"/>
        <v>0</v>
      </c>
      <c r="AE19" s="141">
        <f t="shared" si="16"/>
        <v>0</v>
      </c>
      <c r="AF19" s="55" t="str">
        <f t="shared" si="17"/>
        <v/>
      </c>
      <c r="AG19" s="56"/>
    </row>
    <row r="20" spans="1:34" ht="16.05" customHeight="1" thickTop="1" thickBot="1">
      <c r="A20" s="61" t="s">
        <v>160</v>
      </c>
      <c r="B20" s="62">
        <f>SUM(B4:B19)</f>
        <v>0</v>
      </c>
      <c r="C20" s="63">
        <f>SUM(C4:C19)</f>
        <v>0</v>
      </c>
      <c r="D20" s="64">
        <f>SUM(D4:D19)</f>
        <v>0</v>
      </c>
      <c r="E20" s="64">
        <f>SUM(E4:E19)</f>
        <v>0</v>
      </c>
      <c r="F20" s="61" t="s">
        <v>160</v>
      </c>
      <c r="G20" s="62">
        <f>SUM(G4:G19)</f>
        <v>0</v>
      </c>
      <c r="H20" s="63">
        <f>SUM(H4:H19)</f>
        <v>0</v>
      </c>
      <c r="I20" s="64">
        <f>SUM(I4:I19)</f>
        <v>0</v>
      </c>
      <c r="J20" s="64">
        <f>SUM(J4:J19)</f>
        <v>0</v>
      </c>
      <c r="K20" s="66"/>
      <c r="L20" s="61" t="s">
        <v>160</v>
      </c>
      <c r="M20" s="62">
        <f>SUM(M4:M19)</f>
        <v>0</v>
      </c>
      <c r="N20" s="63">
        <f>SUM(N4:N19)</f>
        <v>0</v>
      </c>
      <c r="O20" s="64">
        <f>SUM(O4:O19)</f>
        <v>0</v>
      </c>
      <c r="P20" s="64">
        <f>SUM(P4:P19)</f>
        <v>0</v>
      </c>
      <c r="Q20" s="61" t="s">
        <v>160</v>
      </c>
      <c r="R20" s="459">
        <f>SUM(R4:R19)</f>
        <v>0</v>
      </c>
      <c r="S20" s="63">
        <f>SUM(S4:S19)</f>
        <v>0</v>
      </c>
      <c r="T20" s="64">
        <f>SUM(T4:T19)</f>
        <v>0</v>
      </c>
      <c r="U20" s="64">
        <f>SUM(U4:U19)</f>
        <v>0</v>
      </c>
      <c r="V20" s="66"/>
      <c r="W20" s="61" t="s">
        <v>160</v>
      </c>
      <c r="X20" s="62">
        <f>SUM(X4:X19)</f>
        <v>0</v>
      </c>
      <c r="Y20" s="63">
        <f>SUM(Y4:Y19)</f>
        <v>0</v>
      </c>
      <c r="Z20" s="64">
        <f>SUM(Z4:Z19)</f>
        <v>0</v>
      </c>
      <c r="AA20" s="64">
        <f>SUM(AA4:AA19)</f>
        <v>0</v>
      </c>
      <c r="AB20" s="61" t="s">
        <v>160</v>
      </c>
      <c r="AC20" s="460">
        <f>SUM(AC4:AC19)</f>
        <v>0</v>
      </c>
      <c r="AD20" s="63">
        <f>SUM(AD4:AD19)</f>
        <v>0</v>
      </c>
      <c r="AE20" s="64">
        <f>SUM(AE4:AE19)</f>
        <v>0</v>
      </c>
      <c r="AF20" s="64">
        <f>SUM(AF4:AF19)</f>
        <v>0</v>
      </c>
      <c r="AG20" s="66"/>
    </row>
    <row r="21" spans="1:34" ht="36.75" customHeight="1" thickTop="1" thickBot="1">
      <c r="A21" s="461" t="s">
        <v>541</v>
      </c>
      <c r="B21" s="462" t="s">
        <v>542</v>
      </c>
      <c r="C21" s="463" t="s">
        <v>543</v>
      </c>
      <c r="D21" s="462" t="s">
        <v>544</v>
      </c>
      <c r="E21" s="119"/>
      <c r="F21" s="464" t="s">
        <v>545</v>
      </c>
      <c r="G21" s="465" t="s">
        <v>542</v>
      </c>
      <c r="H21" s="172" t="s">
        <v>546</v>
      </c>
      <c r="I21" s="465" t="s">
        <v>547</v>
      </c>
      <c r="J21" s="466" t="s">
        <v>282</v>
      </c>
      <c r="K21" s="466" t="s">
        <v>548</v>
      </c>
      <c r="L21" s="461" t="s">
        <v>549</v>
      </c>
      <c r="M21" s="462" t="s">
        <v>542</v>
      </c>
      <c r="N21" s="463" t="s">
        <v>550</v>
      </c>
      <c r="O21" s="462" t="s">
        <v>544</v>
      </c>
      <c r="P21" s="119"/>
      <c r="Q21" s="464" t="s">
        <v>551</v>
      </c>
      <c r="R21" s="465" t="s">
        <v>542</v>
      </c>
      <c r="S21" s="172" t="s">
        <v>552</v>
      </c>
      <c r="T21" s="465" t="s">
        <v>547</v>
      </c>
      <c r="U21" s="112" t="s">
        <v>553</v>
      </c>
      <c r="V21" s="466" t="s">
        <v>548</v>
      </c>
      <c r="W21" s="461" t="s">
        <v>554</v>
      </c>
      <c r="X21" s="462" t="s">
        <v>542</v>
      </c>
      <c r="Y21" s="463" t="s">
        <v>555</v>
      </c>
      <c r="Z21" s="462" t="s">
        <v>556</v>
      </c>
      <c r="AA21" s="112"/>
      <c r="AB21" s="464" t="s">
        <v>557</v>
      </c>
      <c r="AC21" s="465" t="s">
        <v>542</v>
      </c>
      <c r="AD21" s="172" t="s">
        <v>558</v>
      </c>
      <c r="AE21" s="465" t="s">
        <v>559</v>
      </c>
      <c r="AF21" s="112" t="s">
        <v>312</v>
      </c>
      <c r="AG21" s="466" t="s">
        <v>560</v>
      </c>
    </row>
    <row r="22" spans="1:34" ht="16.05" customHeight="1" thickTop="1" thickBot="1">
      <c r="A22" s="467">
        <f>CEILING(B20/5,1)</f>
        <v>0</v>
      </c>
      <c r="B22" s="467">
        <f>IF(D22=0, 0, ROUNDUP(B20*10/D22+5, 0))</f>
        <v>0</v>
      </c>
      <c r="C22" s="468">
        <f>CEILING((D22*B22),80)</f>
        <v>0</v>
      </c>
      <c r="D22" s="467">
        <f>CEILING((B20)/6.9,1)</f>
        <v>0</v>
      </c>
      <c r="E22" s="125"/>
      <c r="F22" s="469">
        <f>FLOOR((G20/0.91)+0.5,1)</f>
        <v>0</v>
      </c>
      <c r="G22" s="469">
        <f>IFERROR(ROUNDUP(G20*13.3/I22+5, 0), 0)</f>
        <v>0</v>
      </c>
      <c r="H22" s="469">
        <f>CEILING((I22*G22),80)</f>
        <v>0</v>
      </c>
      <c r="I22" s="470">
        <f>CEILING(G20/5,1)</f>
        <v>0</v>
      </c>
      <c r="J22" s="471">
        <f>E20+J20</f>
        <v>0</v>
      </c>
      <c r="K22" s="472">
        <f>IF(OR(E20&gt;0,J20&gt;0),1,0)</f>
        <v>0</v>
      </c>
      <c r="L22" s="468">
        <f>CEILING(M20/5,1)</f>
        <v>0</v>
      </c>
      <c r="M22" s="467">
        <f>IF(O22=0, 0, ROUNDUP(M20*10/O22+5, 0))</f>
        <v>0</v>
      </c>
      <c r="N22" s="467">
        <f>CEILING((O22*M22),80)</f>
        <v>0</v>
      </c>
      <c r="O22" s="467">
        <f>CEILING(M20/6.9,1)</f>
        <v>0</v>
      </c>
      <c r="P22" s="125"/>
      <c r="Q22" s="469">
        <f>FLOOR((R20/0.91)+0.5,1)</f>
        <v>0</v>
      </c>
      <c r="R22" s="469">
        <f>IFERROR(ROUNDUP(R20*13.3/T22+5, 0), 0)</f>
        <v>0</v>
      </c>
      <c r="S22" s="469">
        <f>CEILING((T22*R22),80)</f>
        <v>0</v>
      </c>
      <c r="T22" s="473">
        <f>CEILING(R20/5,1)</f>
        <v>0</v>
      </c>
      <c r="U22" s="471">
        <f>P20+U20</f>
        <v>0</v>
      </c>
      <c r="V22" s="471">
        <f>IF(OR(P20&gt;0,U20&gt;0),1,0)</f>
        <v>0</v>
      </c>
      <c r="W22" s="468">
        <f>CEILING(X20/5,1)</f>
        <v>0</v>
      </c>
      <c r="X22" s="467">
        <f>IF(Z22=0, 0, ROUNDUP(X20*10/Z22+5, 0))</f>
        <v>0</v>
      </c>
      <c r="Y22" s="467">
        <f>CEILING((Z22*X22),80)</f>
        <v>0</v>
      </c>
      <c r="Z22" s="467">
        <f>CEILING(X20/6.9,1)</f>
        <v>0</v>
      </c>
      <c r="AA22" s="125"/>
      <c r="AB22" s="469">
        <f>FLOOR((AC20/0.91)+0.5,1)</f>
        <v>0</v>
      </c>
      <c r="AC22" s="469">
        <f>IFERROR(ROUNDUP(AC20*13.3/AE22+5, 0), 0)</f>
        <v>0</v>
      </c>
      <c r="AD22" s="469">
        <f>CEILING((AE22*AC22),80)</f>
        <v>0</v>
      </c>
      <c r="AE22" s="473">
        <f>CEILING(AC20/5,1)</f>
        <v>0</v>
      </c>
      <c r="AF22" s="474">
        <f>AA20+AF20</f>
        <v>0</v>
      </c>
      <c r="AG22" s="475">
        <f>IF(OR(AA20&gt;0,AF20&gt;0),1,0)</f>
        <v>0</v>
      </c>
    </row>
    <row r="23" spans="1:34" ht="56.55" customHeight="1" thickTop="1" thickBot="1">
      <c r="A23" s="476" t="s">
        <v>561</v>
      </c>
      <c r="B23" s="235" t="s">
        <v>562</v>
      </c>
      <c r="C23" s="116" t="s">
        <v>563</v>
      </c>
      <c r="D23" s="114" t="s">
        <v>273</v>
      </c>
      <c r="E23" s="477" t="s">
        <v>564</v>
      </c>
      <c r="F23" s="118" t="s">
        <v>565</v>
      </c>
      <c r="G23" s="116" t="s">
        <v>322</v>
      </c>
      <c r="H23" s="116" t="s">
        <v>210</v>
      </c>
      <c r="I23" s="116" t="s">
        <v>566</v>
      </c>
      <c r="J23" s="116" t="s">
        <v>567</v>
      </c>
      <c r="K23" s="116" t="s">
        <v>568</v>
      </c>
      <c r="L23" s="116" t="s">
        <v>569</v>
      </c>
      <c r="M23" s="478" t="s">
        <v>570</v>
      </c>
      <c r="N23" s="478" t="s">
        <v>571</v>
      </c>
      <c r="O23" s="114" t="s">
        <v>572</v>
      </c>
      <c r="P23" s="118" t="s">
        <v>573</v>
      </c>
      <c r="Q23" s="131" t="s">
        <v>574</v>
      </c>
      <c r="R23" s="115" t="s">
        <v>575</v>
      </c>
      <c r="S23" s="116" t="s">
        <v>576</v>
      </c>
      <c r="T23" s="116" t="s">
        <v>577</v>
      </c>
      <c r="U23" s="116" t="s">
        <v>578</v>
      </c>
      <c r="V23" s="116" t="s">
        <v>568</v>
      </c>
      <c r="W23" s="116" t="s">
        <v>579</v>
      </c>
      <c r="X23" s="478" t="s">
        <v>580</v>
      </c>
      <c r="Y23" s="167" t="s">
        <v>581</v>
      </c>
      <c r="Z23" s="114" t="s">
        <v>582</v>
      </c>
      <c r="AA23" s="118" t="s">
        <v>583</v>
      </c>
      <c r="AB23" s="118" t="s">
        <v>584</v>
      </c>
      <c r="AC23" s="116" t="s">
        <v>585</v>
      </c>
      <c r="AD23" s="116" t="s">
        <v>346</v>
      </c>
      <c r="AE23" s="116" t="s">
        <v>586</v>
      </c>
      <c r="AF23" s="116" t="s">
        <v>587</v>
      </c>
      <c r="AG23" s="116" t="s">
        <v>588</v>
      </c>
      <c r="AH23" s="116" t="s">
        <v>589</v>
      </c>
    </row>
    <row r="24" spans="1:34" ht="17.25" customHeight="1" thickTop="1" thickBot="1">
      <c r="A24" s="479">
        <f>A22+L22+W22</f>
        <v>0</v>
      </c>
      <c r="B24" s="480">
        <f>F22+Q22+AB22</f>
        <v>0</v>
      </c>
      <c r="C24" s="481">
        <f>CEILING((B22*D22+G22*I22+M22*O22+R22*T22+X22*Z22+AC22*AE22),80)</f>
        <v>0</v>
      </c>
      <c r="D24" s="129"/>
      <c r="E24" s="514">
        <f>CEILING((B20+M20+X20)*1.01*10,1)</f>
        <v>0</v>
      </c>
      <c r="F24" s="479">
        <f>IF(K24&gt;0,1,0)+IF(V24&gt;0,1,0)+IF(AG24&gt;0,1,0)</f>
        <v>0</v>
      </c>
      <c r="G24" s="471">
        <f>ROUNDUP((G20+R20+AC20)/25,0)</f>
        <v>0</v>
      </c>
      <c r="H24" s="471">
        <f>IF(OR(E20&gt;0,J20&gt;0),K24,0)</f>
        <v>0</v>
      </c>
      <c r="I24" s="479">
        <f>K24-L24</f>
        <v>0</v>
      </c>
      <c r="J24" s="140">
        <f>D20+I20</f>
        <v>0</v>
      </c>
      <c r="K24" s="471">
        <f>MROUND((D20+I20)/3*2,1)</f>
        <v>0</v>
      </c>
      <c r="L24" s="482">
        <f>(J24-K24)</f>
        <v>0</v>
      </c>
      <c r="M24" s="471">
        <f>J24+U24+AF24</f>
        <v>0</v>
      </c>
      <c r="N24" s="471">
        <f>(J24+U24+AF24)*2</f>
        <v>0</v>
      </c>
      <c r="O24" s="129"/>
      <c r="P24" s="479">
        <f>IF(C24&gt;=80, 1, 0)</f>
        <v>0</v>
      </c>
      <c r="Q24" s="483">
        <f>IF(L26="X", 0, ROUNDUP((G20+R20+AC20)/5, 0))</f>
        <v>0</v>
      </c>
      <c r="R24" s="484">
        <f>IF(L26="X", 0, CEILING((G20+R20+AC20)/10, 1))</f>
        <v>0</v>
      </c>
      <c r="S24" s="471">
        <f>IF(OR(P20&gt;0,U20&gt;0),V24,0)</f>
        <v>0</v>
      </c>
      <c r="T24" s="479">
        <f>V24-W24</f>
        <v>0</v>
      </c>
      <c r="U24" s="140">
        <f>O20+T20</f>
        <v>0</v>
      </c>
      <c r="V24" s="471">
        <f>MROUND((O20+T20)/3*2,1)</f>
        <v>0</v>
      </c>
      <c r="W24" s="485">
        <f>(U24-V24)</f>
        <v>0</v>
      </c>
      <c r="X24" s="471">
        <f>CEILING((G20+R20+AC20)*1.2,6)</f>
        <v>0</v>
      </c>
      <c r="Y24" s="486">
        <f>IF(UPPER(L26)="X",CEILING(30*(G20+R20+AC20)/100,1),0)</f>
        <v>0</v>
      </c>
      <c r="Z24" s="129"/>
      <c r="AA24" s="487">
        <f>IF(UPPER(L26)="X",CEILING(30*(G20+R20+AC20)/100,1),0)</f>
        <v>0</v>
      </c>
      <c r="AB24" s="487">
        <f>IF(UPPER(L26)="X",CEILING((G20+R20+AC20)*1.1,1),0)</f>
        <v>0</v>
      </c>
      <c r="AC24" s="486">
        <f>IF(UPPER(L26)="X",CEILING((G20+R20+AC20)*3/50,1),0)</f>
        <v>0</v>
      </c>
      <c r="AD24" s="471">
        <f>IF(OR(AA20&gt;0,AF20&gt;0),AG24,0)</f>
        <v>0</v>
      </c>
      <c r="AE24" s="479">
        <f>AG24-AH24</f>
        <v>0</v>
      </c>
      <c r="AF24" s="140">
        <f>Z20+AE20</f>
        <v>0</v>
      </c>
      <c r="AG24" s="471">
        <f>MROUND((Z20+AE20)/3*2,1)</f>
        <v>0</v>
      </c>
      <c r="AH24" s="485">
        <f>(AF24-AG24)</f>
        <v>0</v>
      </c>
    </row>
    <row r="25" spans="1:34" ht="72.45" customHeight="1" thickTop="1" thickBot="1">
      <c r="C25" s="5"/>
      <c r="L25" s="488" t="s">
        <v>590</v>
      </c>
    </row>
    <row r="26" spans="1:34" ht="21.45" customHeight="1" thickTop="1" thickBot="1">
      <c r="B26" s="489"/>
      <c r="C26" s="490"/>
      <c r="D26" s="489"/>
      <c r="E26" s="489"/>
      <c r="F26" s="489"/>
      <c r="G26" s="489"/>
      <c r="H26" s="489"/>
      <c r="I26" s="489"/>
      <c r="J26" s="489"/>
      <c r="K26" s="489"/>
      <c r="L26" s="491"/>
      <c r="O26" s="489"/>
      <c r="P26" s="489"/>
      <c r="Q26" s="489"/>
      <c r="R26" s="489"/>
      <c r="S26" s="489"/>
      <c r="T26" s="489"/>
      <c r="U26" s="489"/>
      <c r="V26" s="489"/>
      <c r="W26" s="489"/>
      <c r="X26" s="489"/>
      <c r="Y26" s="489"/>
      <c r="Z26" s="489"/>
      <c r="AA26" s="489"/>
      <c r="AB26" s="489"/>
      <c r="AC26" s="489"/>
      <c r="AD26" s="489"/>
      <c r="AE26" s="489"/>
      <c r="AF26" s="489"/>
    </row>
    <row r="27" spans="1:34" ht="24.45" customHeight="1" thickTop="1">
      <c r="B27" s="492"/>
      <c r="C27" s="493"/>
      <c r="D27" s="492"/>
      <c r="E27" s="492"/>
      <c r="F27" s="492"/>
      <c r="G27" s="492"/>
      <c r="H27" s="492"/>
      <c r="I27" s="492"/>
      <c r="J27" s="492"/>
      <c r="K27" s="492"/>
      <c r="L27" s="492"/>
      <c r="O27" s="492"/>
      <c r="P27" s="492"/>
      <c r="Q27" s="492"/>
      <c r="R27" s="492"/>
      <c r="S27" s="492"/>
      <c r="T27" s="492"/>
      <c r="U27" s="492"/>
      <c r="V27" s="492"/>
      <c r="W27" s="492"/>
      <c r="X27" s="492"/>
      <c r="Y27" s="492"/>
      <c r="Z27" s="492"/>
      <c r="AA27" s="492"/>
      <c r="AB27" s="492"/>
      <c r="AC27" s="492"/>
      <c r="AD27" s="492"/>
      <c r="AE27" s="492"/>
      <c r="AF27" s="492"/>
    </row>
    <row r="28" spans="1:34" ht="33.75" customHeight="1">
      <c r="W28" s="192"/>
      <c r="X28" s="46"/>
      <c r="Y28" s="46"/>
      <c r="Z28" s="46"/>
      <c r="AA28" s="46"/>
      <c r="AB28" s="46"/>
    </row>
    <row r="29" spans="1:34">
      <c r="W29" s="46"/>
      <c r="X29" s="46"/>
      <c r="Y29" s="46"/>
      <c r="Z29" s="46"/>
      <c r="AA29" s="46"/>
      <c r="AB29" s="46"/>
    </row>
    <row r="30" spans="1:34">
      <c r="W30" s="46"/>
      <c r="X30" s="46"/>
      <c r="Y30" s="46"/>
      <c r="Z30" s="46"/>
      <c r="AA30" s="46"/>
      <c r="AB30" s="46"/>
    </row>
    <row r="189" spans="12:12">
      <c r="L189" t="s">
        <v>171</v>
      </c>
    </row>
  </sheetData>
  <mergeCells count="9">
    <mergeCell ref="A1:J1"/>
    <mergeCell ref="L1:U1"/>
    <mergeCell ref="W1:AF1"/>
    <mergeCell ref="A2:E2"/>
    <mergeCell ref="F2:J2"/>
    <mergeCell ref="L2:P2"/>
    <mergeCell ref="Q2:U2"/>
    <mergeCell ref="W2:AA2"/>
    <mergeCell ref="AB2:AF2"/>
  </mergeCells>
  <conditionalFormatting sqref="J24">
    <cfRule type="cellIs" dxfId="17" priority="6" operator="greaterThan">
      <formula>30</formula>
    </cfRule>
    <cfRule type="cellIs" priority="7" operator="greaterThan">
      <formula>15</formula>
    </cfRule>
  </conditionalFormatting>
  <conditionalFormatting sqref="K24">
    <cfRule type="cellIs" dxfId="16" priority="3" operator="greaterThan">
      <formula>15</formula>
    </cfRule>
  </conditionalFormatting>
  <conditionalFormatting sqref="U24">
    <cfRule type="cellIs" dxfId="15" priority="5" operator="greaterThan">
      <formula>30</formula>
    </cfRule>
  </conditionalFormatting>
  <conditionalFormatting sqref="V24">
    <cfRule type="cellIs" dxfId="14" priority="2" operator="greaterThan">
      <formula>15</formula>
    </cfRule>
  </conditionalFormatting>
  <conditionalFormatting sqref="AF24">
    <cfRule type="cellIs" dxfId="13" priority="4" operator="greaterThan">
      <formula>30</formula>
    </cfRule>
  </conditionalFormatting>
  <conditionalFormatting sqref="AG24">
    <cfRule type="cellIs" dxfId="12" priority="1" operator="greaterThan">
      <formula>15</formula>
    </cfRule>
  </conditionalFormatting>
  <pageMargins left="0.70866141732283505" right="0.23622047244094499" top="1.14173228346457" bottom="1.0629921259842501" header="0.196850393700787" footer="0.15748031496063"/>
  <pageSetup paperSize="9" scale="83" orientation="portrait" r:id="rId1"/>
  <headerFooter scaleWithDoc="0" alignWithMargins="0">
    <oddHeader>&amp;L&amp;G&amp;R&amp;G</oddHeader>
    <oddFooter xml:space="preserve">&amp;LRO33404978
J40/8589/2014
RO50BREL0002003055820100
LIBRA BANK&amp;CStr. Învingătorilor nr. 27, Sector 3, București
Tel :  (+4) 0314.361.836
Mobil:  (+4) 0724.204.888
             (+4) 0766.367.287&amp;REmail: 
comercial@magnumheating.ro
</oddFooter>
  </headerFooter>
  <colBreaks count="1" manualBreakCount="1">
    <brk id="3" max="1048575" man="1"/>
  </colBreaks>
  <drawing r:id="rId2"/>
  <legacyDrawing r:id="rId3"/>
  <legacyDrawingHF r:id="rId4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84A3FE-BF15-45E0-9D5A-2BEF3A09C225}">
  <sheetPr>
    <tabColor theme="7" tint="0.39997558519241921"/>
  </sheetPr>
  <dimension ref="A1:AJ143"/>
  <sheetViews>
    <sheetView zoomScaleNormal="100" zoomScaleSheetLayoutView="100" workbookViewId="0">
      <selection activeCell="H5" sqref="H5"/>
    </sheetView>
  </sheetViews>
  <sheetFormatPr defaultRowHeight="14.4"/>
  <cols>
    <col min="1" max="1" width="4.5546875" customWidth="1"/>
    <col min="2" max="2" width="11" customWidth="1"/>
    <col min="3" max="3" width="59.33203125" customWidth="1"/>
    <col min="4" max="4" width="5.44140625" customWidth="1"/>
    <col min="5" max="5" width="5.88671875" customWidth="1"/>
    <col min="6" max="6" width="11.44140625" customWidth="1"/>
    <col min="7" max="7" width="14.109375" customWidth="1"/>
    <col min="8" max="8" width="6.6640625" style="244" customWidth="1"/>
    <col min="9" max="9" width="8.88671875" style="244" customWidth="1"/>
    <col min="10" max="10" width="14" customWidth="1"/>
    <col min="15" max="15" width="10.5546875" customWidth="1"/>
    <col min="16" max="16" width="13.5546875" customWidth="1"/>
    <col min="17" max="17" width="16.109375" customWidth="1"/>
    <col min="18" max="18" width="8.5546875" customWidth="1"/>
    <col min="20" max="20" width="7.109375" customWidth="1"/>
    <col min="21" max="21" width="11.44140625" customWidth="1"/>
    <col min="22" max="22" width="13.5546875" customWidth="1"/>
    <col min="23" max="23" width="15.6640625" customWidth="1"/>
    <col min="24" max="24" width="14.109375" customWidth="1"/>
    <col min="25" max="25" width="14.88671875" customWidth="1"/>
  </cols>
  <sheetData>
    <row r="1" spans="1:17">
      <c r="A1" s="529" t="s">
        <v>597</v>
      </c>
      <c r="B1" s="530"/>
      <c r="C1" s="530"/>
    </row>
    <row r="2" spans="1:17">
      <c r="A2" s="1"/>
    </row>
    <row r="3" spans="1:17">
      <c r="A3" s="529" t="s">
        <v>168</v>
      </c>
      <c r="B3" s="530"/>
      <c r="C3" s="530"/>
    </row>
    <row r="4" spans="1:17">
      <c r="A4" s="529" t="s">
        <v>176</v>
      </c>
      <c r="B4" s="530"/>
      <c r="C4" s="530"/>
    </row>
    <row r="5" spans="1:17">
      <c r="A5" s="529" t="s">
        <v>91</v>
      </c>
      <c r="B5" s="530"/>
      <c r="C5" s="530"/>
    </row>
    <row r="6" spans="1:17">
      <c r="A6" s="529" t="s">
        <v>82</v>
      </c>
      <c r="B6" s="530"/>
      <c r="C6" s="530"/>
    </row>
    <row r="7" spans="1:17">
      <c r="A7" s="529" t="s">
        <v>172</v>
      </c>
      <c r="B7" s="530"/>
      <c r="C7" s="530"/>
    </row>
    <row r="8" spans="1:17">
      <c r="A8" s="1"/>
    </row>
    <row r="9" spans="1:17">
      <c r="A9" s="545" t="s">
        <v>0</v>
      </c>
      <c r="B9" s="545"/>
      <c r="C9" s="545"/>
      <c r="D9" s="545"/>
      <c r="E9" s="545"/>
      <c r="F9" s="545"/>
      <c r="G9" s="545"/>
    </row>
    <row r="10" spans="1:17" ht="18.75" customHeight="1">
      <c r="A10" s="524" t="s">
        <v>215</v>
      </c>
      <c r="B10" s="524"/>
      <c r="C10" s="524"/>
      <c r="D10" s="524"/>
      <c r="E10" s="524"/>
      <c r="F10" s="524"/>
      <c r="G10" s="524"/>
      <c r="H10" s="246"/>
      <c r="I10" s="246"/>
      <c r="J10" s="5"/>
      <c r="K10" s="5"/>
      <c r="L10" s="5"/>
      <c r="M10" s="5"/>
      <c r="N10" s="5"/>
      <c r="O10" s="5"/>
      <c r="P10" s="5"/>
      <c r="Q10" s="5"/>
    </row>
    <row r="11" spans="1:17" ht="17.25" customHeight="1">
      <c r="A11" s="524" t="s">
        <v>245</v>
      </c>
      <c r="B11" s="528"/>
      <c r="C11" s="528"/>
      <c r="D11" s="148">
        <f>'Calcul DF,DF+SF'!A24</f>
        <v>0</v>
      </c>
      <c r="E11" s="149" t="s">
        <v>92</v>
      </c>
      <c r="F11" s="4"/>
      <c r="G11" s="4"/>
      <c r="H11" s="246"/>
      <c r="I11" s="246"/>
      <c r="J11" s="5"/>
      <c r="K11" s="5"/>
      <c r="L11" s="5"/>
      <c r="M11" s="5"/>
      <c r="N11" s="5"/>
      <c r="O11" s="5"/>
      <c r="P11" s="5"/>
      <c r="Q11" s="5"/>
    </row>
    <row r="12" spans="1:17" ht="27.9" customHeight="1">
      <c r="A12" s="4"/>
      <c r="B12" s="4"/>
      <c r="C12" s="4"/>
      <c r="D12" s="4"/>
      <c r="E12" s="4"/>
      <c r="F12" s="4"/>
      <c r="G12" s="4"/>
      <c r="H12" s="246"/>
      <c r="I12" s="246"/>
      <c r="J12" s="5"/>
      <c r="K12" s="5"/>
      <c r="L12" s="5"/>
      <c r="M12" s="5"/>
      <c r="N12" s="5"/>
      <c r="O12" s="5"/>
      <c r="P12" s="5"/>
      <c r="Q12" s="5"/>
    </row>
    <row r="13" spans="1:17" ht="27.9" customHeight="1">
      <c r="A13" s="4"/>
      <c r="B13" s="4"/>
      <c r="C13" s="4"/>
      <c r="D13" s="4"/>
      <c r="E13" s="4"/>
      <c r="F13" s="4"/>
      <c r="G13" s="4"/>
      <c r="H13" s="246"/>
      <c r="I13" s="246"/>
      <c r="J13" s="5"/>
      <c r="K13" s="5"/>
      <c r="L13" s="5"/>
      <c r="M13" s="5"/>
      <c r="N13" s="5"/>
      <c r="O13" s="5"/>
      <c r="P13" s="5"/>
      <c r="Q13" s="5"/>
    </row>
    <row r="14" spans="1:17">
      <c r="A14" s="4"/>
      <c r="B14" s="4"/>
      <c r="C14" s="4"/>
      <c r="D14" s="4"/>
      <c r="E14" s="4"/>
      <c r="F14" s="4"/>
      <c r="G14" s="4"/>
      <c r="H14" s="246"/>
      <c r="I14" s="246"/>
      <c r="J14" s="5"/>
      <c r="K14" s="5"/>
      <c r="L14" s="5"/>
      <c r="M14" s="5"/>
      <c r="N14" s="5"/>
      <c r="O14" s="5"/>
      <c r="P14" s="5"/>
      <c r="Q14" s="5"/>
    </row>
    <row r="15" spans="1:17" ht="32.25" customHeight="1">
      <c r="A15" s="4"/>
      <c r="B15" s="4"/>
      <c r="C15" s="4"/>
      <c r="D15" s="4"/>
      <c r="E15" s="4"/>
      <c r="F15" s="4"/>
      <c r="G15" s="4"/>
      <c r="H15" s="246"/>
      <c r="I15" s="246"/>
      <c r="J15" s="5"/>
      <c r="K15" s="5"/>
      <c r="L15" s="5"/>
      <c r="M15" s="5"/>
      <c r="N15" s="5"/>
      <c r="O15" s="5"/>
      <c r="P15" s="5"/>
      <c r="Q15" s="5"/>
    </row>
    <row r="16" spans="1:17" ht="32.25" customHeight="1">
      <c r="A16" s="4"/>
      <c r="B16" s="4"/>
      <c r="C16" s="4"/>
      <c r="D16" s="4"/>
      <c r="E16" s="4"/>
      <c r="F16" s="4"/>
      <c r="G16" s="4"/>
      <c r="H16" s="246"/>
      <c r="I16" s="246"/>
      <c r="J16" s="5"/>
      <c r="K16" s="5"/>
      <c r="L16" s="5"/>
      <c r="M16" s="5"/>
      <c r="N16" s="5"/>
      <c r="O16" s="5"/>
      <c r="P16" s="5"/>
      <c r="Q16" s="5"/>
    </row>
    <row r="17" spans="1:17" ht="21" customHeight="1">
      <c r="A17" s="4"/>
      <c r="B17" s="4"/>
      <c r="C17" s="4"/>
      <c r="D17" s="4"/>
      <c r="E17" s="4"/>
      <c r="F17" s="4"/>
      <c r="G17" s="4"/>
      <c r="H17" s="246"/>
      <c r="I17" s="246"/>
      <c r="J17" s="5"/>
      <c r="K17" s="5"/>
      <c r="L17" s="5"/>
      <c r="M17" s="5"/>
      <c r="N17" s="5"/>
      <c r="O17" s="5"/>
      <c r="P17" s="5"/>
      <c r="Q17" s="5"/>
    </row>
    <row r="18" spans="1:17" ht="21.6" thickBot="1">
      <c r="A18" s="525" t="s">
        <v>140</v>
      </c>
      <c r="B18" s="526"/>
      <c r="C18" s="526"/>
      <c r="D18" s="526"/>
      <c r="E18" s="526"/>
      <c r="F18" s="526"/>
      <c r="G18" s="526"/>
      <c r="H18" s="247"/>
      <c r="I18" s="247"/>
      <c r="J18" s="5"/>
      <c r="K18" s="5"/>
      <c r="L18" s="5"/>
      <c r="M18" s="5"/>
      <c r="N18" s="5"/>
      <c r="O18" s="5"/>
      <c r="P18" s="5"/>
      <c r="Q18" s="5"/>
    </row>
    <row r="19" spans="1:17" ht="18.75" customHeight="1" thickTop="1">
      <c r="A19" s="6" t="s">
        <v>1</v>
      </c>
      <c r="B19" s="518" t="s">
        <v>3</v>
      </c>
      <c r="C19" s="518" t="s">
        <v>4</v>
      </c>
      <c r="D19" s="518" t="s">
        <v>5</v>
      </c>
      <c r="E19" s="518" t="s">
        <v>6</v>
      </c>
      <c r="F19" s="7" t="s">
        <v>7</v>
      </c>
      <c r="G19" s="8" t="s">
        <v>9</v>
      </c>
      <c r="H19" s="247"/>
      <c r="I19" s="247"/>
      <c r="J19" s="5"/>
      <c r="K19" s="5"/>
      <c r="L19" s="5"/>
      <c r="M19" s="5"/>
      <c r="N19" s="5"/>
      <c r="O19" s="5"/>
      <c r="P19" s="5"/>
      <c r="Q19" s="5"/>
    </row>
    <row r="20" spans="1:17" ht="26.25" customHeight="1" thickBot="1">
      <c r="A20" s="17" t="s">
        <v>2</v>
      </c>
      <c r="B20" s="527"/>
      <c r="C20" s="527"/>
      <c r="D20" s="527"/>
      <c r="E20" s="527"/>
      <c r="F20" s="18" t="s">
        <v>8</v>
      </c>
      <c r="G20" s="19" t="s">
        <v>8</v>
      </c>
      <c r="H20" s="247"/>
      <c r="I20" s="247"/>
      <c r="J20" s="5"/>
      <c r="K20" s="5"/>
      <c r="L20" s="5"/>
      <c r="M20" s="5"/>
      <c r="N20" s="5"/>
      <c r="O20" s="5"/>
      <c r="P20" s="5"/>
      <c r="Q20" s="5"/>
    </row>
    <row r="21" spans="1:17" ht="20.100000000000001" customHeight="1" thickTop="1" thickBot="1">
      <c r="A21" s="564" t="s">
        <v>390</v>
      </c>
      <c r="B21" s="578"/>
      <c r="C21" s="578"/>
      <c r="D21" s="146">
        <f>'Calcul DF,DF+SF'!A24</f>
        <v>0</v>
      </c>
      <c r="E21" s="75"/>
      <c r="F21" s="75"/>
      <c r="G21" s="39"/>
      <c r="H21" s="248">
        <f>SUM(H22:H23)</f>
        <v>0</v>
      </c>
      <c r="I21" s="247"/>
      <c r="J21" s="5"/>
      <c r="K21" s="5"/>
      <c r="L21" s="5"/>
      <c r="M21" s="5"/>
      <c r="N21" s="5"/>
      <c r="O21" s="5"/>
      <c r="P21" s="5"/>
      <c r="Q21" s="5"/>
    </row>
    <row r="22" spans="1:17" ht="27.9" customHeight="1" thickTop="1" thickBot="1">
      <c r="A22" s="12"/>
      <c r="B22" s="2" t="s">
        <v>88</v>
      </c>
      <c r="C22" s="13" t="s">
        <v>95</v>
      </c>
      <c r="D22" s="2" t="s">
        <v>13</v>
      </c>
      <c r="E22" s="293">
        <f>'Calcul DF,DF+SF'!E24</f>
        <v>0</v>
      </c>
      <c r="F22" s="285">
        <v>120</v>
      </c>
      <c r="G22" s="33">
        <f t="shared" ref="G22:G50" si="0">E22*F22</f>
        <v>0</v>
      </c>
      <c r="H22" s="248">
        <f t="shared" ref="H22:H50" si="1">E22</f>
        <v>0</v>
      </c>
      <c r="I22" s="247"/>
      <c r="J22" s="5"/>
      <c r="K22" s="5"/>
      <c r="L22" s="5"/>
      <c r="M22" s="5"/>
      <c r="N22" s="5"/>
      <c r="O22" s="5"/>
      <c r="P22" s="5"/>
      <c r="Q22" s="5"/>
    </row>
    <row r="23" spans="1:17" ht="27.9" customHeight="1" thickBot="1">
      <c r="A23" s="35"/>
      <c r="B23" s="36" t="s">
        <v>79</v>
      </c>
      <c r="C23" s="37" t="s">
        <v>94</v>
      </c>
      <c r="D23" s="36" t="s">
        <v>11</v>
      </c>
      <c r="E23" s="292">
        <f>'Calcul DF,DF+SF'!M24</f>
        <v>0</v>
      </c>
      <c r="F23" s="303">
        <v>3.6</v>
      </c>
      <c r="G23" s="38">
        <f t="shared" si="0"/>
        <v>0</v>
      </c>
      <c r="H23" s="248">
        <f t="shared" si="1"/>
        <v>0</v>
      </c>
      <c r="I23" s="247"/>
      <c r="J23" s="5"/>
      <c r="K23" s="5"/>
      <c r="L23" s="5"/>
      <c r="M23" s="5"/>
      <c r="N23" s="5"/>
      <c r="O23" s="5"/>
      <c r="P23" s="5"/>
      <c r="Q23" s="5"/>
    </row>
    <row r="24" spans="1:17" ht="20.100000000000001" customHeight="1" thickTop="1" thickBot="1">
      <c r="A24" s="564" t="s">
        <v>16</v>
      </c>
      <c r="B24" s="565"/>
      <c r="C24" s="565"/>
      <c r="D24" s="565"/>
      <c r="E24" s="565"/>
      <c r="F24" s="565"/>
      <c r="G24" s="39"/>
      <c r="H24" s="248">
        <f>SUM(H26:H52)</f>
        <v>0</v>
      </c>
      <c r="I24" s="247"/>
      <c r="J24" s="32"/>
      <c r="K24" s="5"/>
      <c r="L24" s="5"/>
      <c r="M24" s="5" t="s">
        <v>85</v>
      </c>
      <c r="N24" s="5"/>
      <c r="O24" s="5"/>
      <c r="P24" s="5"/>
      <c r="Q24" s="5"/>
    </row>
    <row r="25" spans="1:17" ht="18" customHeight="1" thickTop="1" thickBot="1">
      <c r="A25" s="12"/>
      <c r="B25" s="2" t="s">
        <v>78</v>
      </c>
      <c r="C25" s="13" t="s">
        <v>77</v>
      </c>
      <c r="D25" s="2" t="s">
        <v>13</v>
      </c>
      <c r="E25" s="28">
        <f>'Calcul DF,DF+SF'!D20+'Calcul DF,DF+SF'!O20+'Calcul DF,DF+SF'!Z20</f>
        <v>0</v>
      </c>
      <c r="F25" s="285">
        <v>2</v>
      </c>
      <c r="G25" s="33">
        <f>E25*F25</f>
        <v>0</v>
      </c>
      <c r="H25" s="248">
        <f>E25</f>
        <v>0</v>
      </c>
      <c r="I25" s="247"/>
      <c r="J25" s="5"/>
      <c r="K25" s="5"/>
      <c r="L25" s="5"/>
      <c r="M25" s="5"/>
      <c r="N25" s="5"/>
      <c r="O25" s="5"/>
      <c r="P25" s="5"/>
      <c r="Q25" s="5"/>
    </row>
    <row r="26" spans="1:17" ht="18" customHeight="1" thickBot="1">
      <c r="A26" s="12"/>
      <c r="B26" s="2" t="s">
        <v>111</v>
      </c>
      <c r="C26" s="13" t="s">
        <v>161</v>
      </c>
      <c r="D26" s="3" t="s">
        <v>11</v>
      </c>
      <c r="E26" s="28"/>
      <c r="F26" s="286">
        <v>165</v>
      </c>
      <c r="G26" s="33">
        <f>E26*F26</f>
        <v>0</v>
      </c>
      <c r="H26" s="248">
        <f t="shared" si="1"/>
        <v>0</v>
      </c>
      <c r="I26" s="247"/>
      <c r="J26" s="5"/>
      <c r="K26" s="5"/>
      <c r="L26" s="5"/>
      <c r="M26" s="5"/>
      <c r="N26" s="5"/>
      <c r="O26" s="5"/>
      <c r="P26" s="5"/>
      <c r="Q26" s="5"/>
    </row>
    <row r="27" spans="1:17" ht="18" customHeight="1" thickBot="1">
      <c r="A27" s="12"/>
      <c r="B27" s="2" t="s">
        <v>59</v>
      </c>
      <c r="C27" s="13" t="s">
        <v>66</v>
      </c>
      <c r="D27" s="28" t="s">
        <v>14</v>
      </c>
      <c r="E27" s="296">
        <f>IF('Calcul DF,DF+SF'!C24- 'Sistem DryFloor'!E29*600- 'Sistem DryFloor'!E28*240&gt;=120, INT(('Calcul DF,DF+SF'!C24- 'Sistem DryFloor'!E29*600-'Sistem DryFloor'!E28*240)/120),0)</f>
        <v>0</v>
      </c>
      <c r="F27" s="286">
        <v>64</v>
      </c>
      <c r="G27" s="33">
        <f t="shared" si="0"/>
        <v>0</v>
      </c>
      <c r="H27" s="248">
        <f t="shared" si="1"/>
        <v>0</v>
      </c>
      <c r="I27" s="247"/>
      <c r="J27" s="5"/>
      <c r="K27" s="5"/>
      <c r="L27" s="5"/>
      <c r="M27" s="5"/>
      <c r="N27" s="5"/>
      <c r="O27" s="5"/>
      <c r="P27" s="5"/>
      <c r="Q27" s="5"/>
    </row>
    <row r="28" spans="1:17" ht="18" customHeight="1" thickBot="1">
      <c r="A28" s="12"/>
      <c r="B28" s="2" t="s">
        <v>64</v>
      </c>
      <c r="C28" s="13" t="s">
        <v>67</v>
      </c>
      <c r="D28" s="28" t="s">
        <v>14</v>
      </c>
      <c r="E28" s="296">
        <f>IF('Calcul DF,DF+SF'!C24-'Sistem DryFloor'!E29*600&gt;=240, INT(('Calcul DF,DF+SF'!C24-'Sistem DryFloor'!E29*600)/240),0)</f>
        <v>0</v>
      </c>
      <c r="F28" s="286">
        <v>127</v>
      </c>
      <c r="G28" s="33">
        <f t="shared" si="0"/>
        <v>0</v>
      </c>
      <c r="H28" s="248">
        <f t="shared" si="1"/>
        <v>0</v>
      </c>
      <c r="I28" s="247"/>
      <c r="J28" s="5"/>
      <c r="K28" s="5"/>
      <c r="L28" s="5"/>
      <c r="M28" s="5"/>
      <c r="N28" s="5"/>
      <c r="O28" s="5"/>
      <c r="P28" s="5"/>
      <c r="Q28" s="5"/>
    </row>
    <row r="29" spans="1:17" ht="18" customHeight="1" thickBot="1">
      <c r="A29" s="12"/>
      <c r="B29" s="2" t="s">
        <v>65</v>
      </c>
      <c r="C29" s="13" t="s">
        <v>68</v>
      </c>
      <c r="D29" s="28" t="s">
        <v>14</v>
      </c>
      <c r="E29" s="296">
        <f>IF('Calcul DF,DF+SF'!C24&gt;=600, INT('Calcul DF,DF+SF'!C24/600),0)</f>
        <v>0</v>
      </c>
      <c r="F29" s="286">
        <v>319</v>
      </c>
      <c r="G29" s="33">
        <f t="shared" si="0"/>
        <v>0</v>
      </c>
      <c r="H29" s="248">
        <f t="shared" si="1"/>
        <v>0</v>
      </c>
      <c r="I29" s="247"/>
      <c r="J29" s="5"/>
      <c r="K29" s="5"/>
      <c r="L29" s="5"/>
      <c r="M29" s="5"/>
      <c r="N29" s="5"/>
      <c r="O29" s="5"/>
      <c r="P29" s="5"/>
      <c r="Q29" s="5"/>
    </row>
    <row r="30" spans="1:17" ht="50.1" customHeight="1" thickBot="1">
      <c r="A30" s="12"/>
      <c r="B30" s="2" t="s">
        <v>35</v>
      </c>
      <c r="C30" s="13" t="s">
        <v>118</v>
      </c>
      <c r="D30" s="2" t="s">
        <v>11</v>
      </c>
      <c r="E30" s="28">
        <f>IF(AND('Calcul DF,DF+SF'!$J$24=2, 'Calcul DF,DF+SF'!$U$24=2, 'Calcul DF,DF+SF'!$AF$24=2), 3,
IF(OR(AND('Calcul DF,DF+SF'!$J$24=2, 'Calcul DF,DF+SF'!$U$24=2),
      AND('Calcul DF,DF+SF'!$J$24=2, 'Calcul DF,DF+SF'!$AF$24=2),
      AND('Calcul DF,DF+SF'!$U$24=2, 'Calcul DF,DF+SF'!$AF$24=2)), 2,
IF(OR('Calcul DF,DF+SF'!$J$24=2, 'Calcul DF,DF+SF'!$U$24=2, 'Calcul DF,DF+SF'!$AF$24=2), 1, 0)))</f>
        <v>0</v>
      </c>
      <c r="F30" s="286">
        <v>104</v>
      </c>
      <c r="G30" s="33">
        <f t="shared" si="0"/>
        <v>0</v>
      </c>
      <c r="H30" s="248">
        <f t="shared" si="1"/>
        <v>0</v>
      </c>
      <c r="I30" s="247"/>
      <c r="J30" s="5"/>
      <c r="K30" s="5"/>
      <c r="L30" s="5"/>
      <c r="M30" s="5"/>
      <c r="N30" s="5"/>
      <c r="O30" s="5"/>
      <c r="P30" s="5"/>
      <c r="Q30" s="5"/>
    </row>
    <row r="31" spans="1:17" ht="50.1" customHeight="1" thickBot="1">
      <c r="A31" s="12"/>
      <c r="B31" s="2" t="s">
        <v>36</v>
      </c>
      <c r="C31" s="13" t="s">
        <v>119</v>
      </c>
      <c r="D31" s="2" t="s">
        <v>11</v>
      </c>
      <c r="E31" s="28">
        <f>IF(AND('Calcul DF,DF+SF'!$J$24=3, 'Calcul DF,DF+SF'!$U$24=3, 'Calcul DF,DF+SF'!$AF$24=3), 3,
IF(OR(AND('Calcul DF,DF+SF'!$J$24=3, 'Calcul DF,DF+SF'!$U$24=3),
      AND('Calcul DF,DF+SF'!$J$24=3, 'Calcul DF,DF+SF'!$AF$24=3),
      AND('Calcul DF,DF+SF'!$U$24=3, 'Calcul DF,DF+SF'!$AF$24=3)), 2,
IF(OR('Calcul DF,DF+SF'!$J$24=3, 'Calcul DF,DF+SF'!$U$24=3, 'Calcul DF,DF+SF'!$AF$24=3), 1, 0)))</f>
        <v>0</v>
      </c>
      <c r="F31" s="286">
        <v>120</v>
      </c>
      <c r="G31" s="33">
        <f t="shared" si="0"/>
        <v>0</v>
      </c>
      <c r="H31" s="248">
        <f t="shared" si="1"/>
        <v>0</v>
      </c>
      <c r="I31" s="247"/>
      <c r="J31" s="5"/>
      <c r="K31" s="5"/>
      <c r="L31" s="5"/>
      <c r="M31" s="5"/>
      <c r="N31" s="5"/>
      <c r="O31" s="5"/>
      <c r="P31" s="5"/>
      <c r="Q31" s="5"/>
    </row>
    <row r="32" spans="1:17" ht="50.1" customHeight="1" thickBot="1">
      <c r="A32" s="12"/>
      <c r="B32" s="2" t="s">
        <v>37</v>
      </c>
      <c r="C32" s="13" t="s">
        <v>120</v>
      </c>
      <c r="D32" s="2" t="s">
        <v>11</v>
      </c>
      <c r="E32" s="28">
        <f>IF(AND('Calcul DF,DF+SF'!$J$24=4, 'Calcul DF,DF+SF'!$U$24=4, 'Calcul DF,DF+SF'!$AF$24=4), 3,
IF(OR(AND('Calcul DF,DF+SF'!$J$24=4, 'Calcul DF,DF+SF'!$U$24=4),
      AND('Calcul DF,DF+SF'!$J$24=4, 'Calcul DF,DF+SF'!$AF$24=4),
      AND('Calcul DF,DF+SF'!$U$24=4, 'Calcul DF,DF+SF'!$AF$24=4)), 2,
IF(OR('Calcul DF,DF+SF'!$J$24=4, 'Calcul DF,DF+SF'!$U$24=4, 'Calcul DF,DF+SF'!$AF$24=4), 1, 0)))</f>
        <v>0</v>
      </c>
      <c r="F32" s="286">
        <v>136</v>
      </c>
      <c r="G32" s="33">
        <f t="shared" si="0"/>
        <v>0</v>
      </c>
      <c r="H32" s="248">
        <f t="shared" si="1"/>
        <v>0</v>
      </c>
      <c r="I32" s="247"/>
      <c r="J32" s="5"/>
      <c r="K32" s="5"/>
      <c r="L32" s="5"/>
      <c r="M32" s="5"/>
      <c r="N32" s="5"/>
      <c r="O32" s="5"/>
      <c r="P32" s="5"/>
      <c r="Q32" s="5"/>
    </row>
    <row r="33" spans="1:17" ht="50.1" customHeight="1" thickBot="1">
      <c r="A33" s="12"/>
      <c r="B33" s="2" t="s">
        <v>23</v>
      </c>
      <c r="C33" s="13" t="s">
        <v>121</v>
      </c>
      <c r="D33" s="2" t="s">
        <v>11</v>
      </c>
      <c r="E33" s="28">
        <f>IF(AND('Calcul DF,DF+SF'!$J$24=5, 'Calcul DF,DF+SF'!$U$24=5, 'Calcul DF,DF+SF'!$AF$24=5), 3,
IF(OR(AND('Calcul DF,DF+SF'!$J$24=5, 'Calcul DF,DF+SF'!$U$24=5),
      AND('Calcul DF,DF+SF'!$J$24=5, 'Calcul DF,DF+SF'!$AF$24=5),
      AND('Calcul DF,DF+SF'!$U$24=5, 'Calcul DF,DF+SF'!$AF$24=5)), 2,
IF(OR('Calcul DF,DF+SF'!$J$24=5, 'Calcul DF,DF+SF'!$U$24=5, 'Calcul DF,DF+SF'!$AF$24=5), 1, 0)))</f>
        <v>0</v>
      </c>
      <c r="F33" s="286">
        <v>151</v>
      </c>
      <c r="G33" s="33">
        <f t="shared" si="0"/>
        <v>0</v>
      </c>
      <c r="H33" s="248">
        <f t="shared" si="1"/>
        <v>0</v>
      </c>
      <c r="I33" s="247"/>
      <c r="J33" s="5"/>
      <c r="K33" s="5"/>
      <c r="L33" s="5"/>
      <c r="M33" s="5"/>
      <c r="N33" s="5"/>
      <c r="O33" s="5"/>
      <c r="P33" s="5"/>
      <c r="Q33" s="5"/>
    </row>
    <row r="34" spans="1:17" ht="50.1" customHeight="1" thickBot="1">
      <c r="A34" s="12"/>
      <c r="B34" s="2" t="s">
        <v>22</v>
      </c>
      <c r="C34" s="13" t="s">
        <v>303</v>
      </c>
      <c r="D34" s="2" t="s">
        <v>11</v>
      </c>
      <c r="E34" s="28">
        <f>IF(AND('Calcul DF,DF+SF'!$J$24=6, 'Calcul DF,DF+SF'!$U$24=6, 'Calcul DF,DF+SF'!$AF$24=6), 3,
IF(OR(AND('Calcul DF,DF+SF'!$J$24=6, 'Calcul DF,DF+SF'!$U$24=6),
      AND('Calcul DF,DF+SF'!$J$24=6, 'Calcul DF,DF+SF'!$AF$24=6),
      AND('Calcul DF,DF+SF'!$U$24=6, 'Calcul DF,DF+SF'!$AF$24=6)), 2,
IF(OR('Calcul DF,DF+SF'!$J$24=6, 'Calcul DF,DF+SF'!$U$24=6, 'Calcul DF,DF+SF'!$AF$24=6), 1, 0)))</f>
        <v>0</v>
      </c>
      <c r="F34" s="286">
        <v>168</v>
      </c>
      <c r="G34" s="33">
        <f t="shared" si="0"/>
        <v>0</v>
      </c>
      <c r="H34" s="248">
        <f t="shared" si="1"/>
        <v>0</v>
      </c>
      <c r="I34" s="247"/>
      <c r="J34" s="5"/>
      <c r="K34" s="5"/>
      <c r="L34" s="5"/>
      <c r="M34" s="5"/>
      <c r="N34" s="5"/>
      <c r="O34" s="5"/>
      <c r="P34" s="5"/>
      <c r="Q34" s="5"/>
    </row>
    <row r="35" spans="1:17" ht="50.1" customHeight="1" thickBot="1">
      <c r="A35" s="12"/>
      <c r="B35" s="2" t="s">
        <v>21</v>
      </c>
      <c r="C35" s="13" t="s">
        <v>304</v>
      </c>
      <c r="D35" s="2" t="s">
        <v>11</v>
      </c>
      <c r="E35" s="28">
        <f>IF(AND('Calcul DF,DF+SF'!$J$24=7, 'Calcul DF,DF+SF'!$U$24=7, 'Calcul DF,DF+SF'!$AF$24=7), 3,
IF(OR(AND('Calcul DF,DF+SF'!$J$24=7, 'Calcul DF,DF+SF'!$U$24=7),
      AND('Calcul DF,DF+SF'!$J$24=7, 'Calcul DF,DF+SF'!$AF$24=7),
      AND('Calcul DF,DF+SF'!$U$24=7, 'Calcul DF,DF+SF'!$AF$24=7)), 2,
IF(OR('Calcul DF,DF+SF'!$J$24=7, 'Calcul DF,DF+SF'!$U$24=7, 'Calcul DF,DF+SF'!$AF$24=7), 1, 0)))</f>
        <v>0</v>
      </c>
      <c r="F35" s="286">
        <v>184</v>
      </c>
      <c r="G35" s="33">
        <f t="shared" si="0"/>
        <v>0</v>
      </c>
      <c r="H35" s="248">
        <f t="shared" si="1"/>
        <v>0</v>
      </c>
      <c r="I35" s="247"/>
      <c r="J35" s="5"/>
      <c r="K35" s="5"/>
      <c r="L35" s="5"/>
      <c r="M35" s="5"/>
      <c r="N35" s="5"/>
      <c r="O35" s="5"/>
      <c r="P35" s="5"/>
      <c r="Q35" s="5"/>
    </row>
    <row r="36" spans="1:17" ht="50.1" customHeight="1" thickBot="1">
      <c r="A36" s="12"/>
      <c r="B36" s="2" t="s">
        <v>38</v>
      </c>
      <c r="C36" s="13" t="s">
        <v>167</v>
      </c>
      <c r="D36" s="2" t="s">
        <v>11</v>
      </c>
      <c r="E36" s="28">
        <f>IF(AND('Calcul DF,DF+SF'!$J$24=8, 'Calcul DF,DF+SF'!$U$24=8, 'Calcul DF,DF+SF'!$AF$24=8), 3,
IF(OR(AND('Calcul DF,DF+SF'!$J$24=8, 'Calcul DF,DF+SF'!$U$24=8),
      AND('Calcul DF,DF+SF'!$J$24=8, 'Calcul DF,DF+SF'!$AF$24=8),
      AND('Calcul DF,DF+SF'!$U$24=8, 'Calcul DF,DF+SF'!$AF$24=8)), 2,
IF(OR('Calcul DF,DF+SF'!$J$24=8, 'Calcul DF,DF+SF'!$U$24=8, 'Calcul DF,DF+SF'!$AF$24=8), 1, 0)))</f>
        <v>0</v>
      </c>
      <c r="F36" s="286">
        <v>200</v>
      </c>
      <c r="G36" s="33">
        <f t="shared" si="0"/>
        <v>0</v>
      </c>
      <c r="H36" s="248">
        <f t="shared" si="1"/>
        <v>0</v>
      </c>
      <c r="I36" s="247"/>
      <c r="J36" s="5"/>
      <c r="K36" s="5"/>
      <c r="L36" s="5"/>
      <c r="M36" s="5"/>
      <c r="N36" s="5"/>
      <c r="O36" s="5"/>
      <c r="P36" s="5"/>
      <c r="Q36" s="5"/>
    </row>
    <row r="37" spans="1:17" ht="50.1" customHeight="1" thickBot="1">
      <c r="A37" s="12"/>
      <c r="B37" s="2" t="s">
        <v>39</v>
      </c>
      <c r="C37" s="13" t="s">
        <v>173</v>
      </c>
      <c r="D37" s="2" t="s">
        <v>11</v>
      </c>
      <c r="E37" s="28">
        <f>IF(AND('Calcul DF,DF+SF'!$J$24=9, 'Calcul DF,DF+SF'!$U$24=9, 'Calcul DF,DF+SF'!$AF$24=9), 3,
IF(OR(AND('Calcul DF,DF+SF'!$J$24=9, 'Calcul DF,DF+SF'!$U$24=9),
      AND('Calcul DF,DF+SF'!$J$24=9, 'Calcul DF,DF+SF'!$AF$24=9),
      AND('Calcul DF,DF+SF'!$U$24=9, 'Calcul DF,DF+SF'!$AF$24=9)), 2,
IF(OR('Calcul DF,DF+SF'!$J$24=9, 'Calcul DF,DF+SF'!$U$24=9, 'Calcul DF,DF+SF'!$AF$24=9), 1, 0)))</f>
        <v>0</v>
      </c>
      <c r="F37" s="286">
        <v>215</v>
      </c>
      <c r="G37" s="33">
        <f t="shared" si="0"/>
        <v>0</v>
      </c>
      <c r="H37" s="248">
        <f t="shared" si="1"/>
        <v>0</v>
      </c>
      <c r="I37" s="247"/>
      <c r="J37" s="5"/>
      <c r="K37" s="5"/>
      <c r="L37" s="5"/>
      <c r="M37" s="5"/>
      <c r="N37" s="5"/>
      <c r="O37" s="5"/>
      <c r="P37" s="5"/>
      <c r="Q37" s="5"/>
    </row>
    <row r="38" spans="1:17" ht="50.1" customHeight="1" thickBot="1">
      <c r="A38" s="12"/>
      <c r="B38" s="2" t="s">
        <v>40</v>
      </c>
      <c r="C38" s="13" t="s">
        <v>122</v>
      </c>
      <c r="D38" s="2" t="s">
        <v>11</v>
      </c>
      <c r="E38" s="28">
        <f>IF(AND('Calcul DF,DF+SF'!$J$24=10, 'Calcul DF,DF+SF'!$U$24=10, 'Calcul DF,DF+SF'!$AF$24=10), 3,
IF(OR(AND('Calcul DF,DF+SF'!$J$24=10, 'Calcul DF,DF+SF'!$U$24=10),
      AND('Calcul DF,DF+SF'!$J$24=10, 'Calcul DF,DF+SF'!$AF$24=10),
      AND('Calcul DF,DF+SF'!$U$24=10, 'Calcul DF,DF+SF'!$AF$24=10)), 2,
IF(OR('Calcul DF,DF+SF'!$J$24=10, 'Calcul DF,DF+SF'!$U$24=10, 'Calcul DF,DF+SF'!$AF$24=10), 1, 0)))</f>
        <v>0</v>
      </c>
      <c r="F38" s="286">
        <v>233</v>
      </c>
      <c r="G38" s="33">
        <f t="shared" si="0"/>
        <v>0</v>
      </c>
      <c r="H38" s="248">
        <f t="shared" si="1"/>
        <v>0</v>
      </c>
      <c r="I38" s="247"/>
      <c r="J38" s="5"/>
      <c r="K38" s="5"/>
      <c r="L38" s="5"/>
      <c r="M38" s="5"/>
      <c r="N38" s="5"/>
      <c r="O38" s="5"/>
      <c r="P38" s="5"/>
      <c r="Q38" s="5"/>
    </row>
    <row r="39" spans="1:17" ht="50.1" customHeight="1" thickBot="1">
      <c r="A39" s="12"/>
      <c r="B39" s="2" t="s">
        <v>41</v>
      </c>
      <c r="C39" s="13" t="s">
        <v>123</v>
      </c>
      <c r="D39" s="2" t="s">
        <v>11</v>
      </c>
      <c r="E39" s="28">
        <f>IF(AND('Calcul DF,DF+SF'!$J$24=11, 'Calcul DF,DF+SF'!$U$24=11, 'Calcul DF,DF+SF'!$AF$24=11), 3,
IF(OR(AND('Calcul DF,DF+SF'!$J$24=11, 'Calcul DF,DF+SF'!$U$24=11),
      AND('Calcul DF,DF+SF'!$J$24=11, 'Calcul DF,DF+SF'!$AF$24=11),
      AND('Calcul DF,DF+SF'!$U$24=11, 'Calcul DF,DF+SF'!$AF$24=11)), 2,
IF(OR('Calcul DF,DF+SF'!$J$24=11, 'Calcul DF,DF+SF'!$U$24=11, 'Calcul DF,DF+SF'!$AF$24=11), 1, 0)))</f>
        <v>0</v>
      </c>
      <c r="F39" s="286">
        <v>247</v>
      </c>
      <c r="G39" s="33">
        <f t="shared" si="0"/>
        <v>0</v>
      </c>
      <c r="H39" s="248">
        <f t="shared" si="1"/>
        <v>0</v>
      </c>
      <c r="I39" s="247"/>
      <c r="J39" s="5"/>
      <c r="K39" s="5"/>
      <c r="L39" s="5"/>
      <c r="M39" s="5"/>
      <c r="N39" s="5"/>
      <c r="O39" s="5"/>
      <c r="P39" s="5"/>
      <c r="Q39" s="5"/>
    </row>
    <row r="40" spans="1:17" ht="50.1" customHeight="1" thickBot="1">
      <c r="A40" s="12"/>
      <c r="B40" s="2" t="s">
        <v>42</v>
      </c>
      <c r="C40" s="13" t="s">
        <v>124</v>
      </c>
      <c r="D40" s="2" t="s">
        <v>11</v>
      </c>
      <c r="E40" s="28">
        <f>IF(AND('Calcul DF,DF+SF'!$J$24=12, 'Calcul DF,DF+SF'!$U$24=12, 'Calcul DF,DF+SF'!$AF$24=12), 3,
IF(OR(AND('Calcul DF,DF+SF'!$J$24=12, 'Calcul DF,DF+SF'!$U$24=12),
      AND('Calcul DF,DF+SF'!$J$24=12, 'Calcul DF,DF+SF'!$AF$24=12),
      AND('Calcul DF,DF+SF'!$U$24=12, 'Calcul DF,DF+SF'!$AF$24=12)), 2,
IF(OR('Calcul DF,DF+SF'!$J$24=12, 'Calcul DF,DF+SF'!$U$24=12, 'Calcul DF,DF+SF'!$AF$24=12), 1, 0)))</f>
        <v>0</v>
      </c>
      <c r="F40" s="286">
        <v>265</v>
      </c>
      <c r="G40" s="33">
        <f t="shared" si="0"/>
        <v>0</v>
      </c>
      <c r="H40" s="248">
        <f t="shared" si="1"/>
        <v>0</v>
      </c>
      <c r="I40" s="247"/>
      <c r="J40" s="5"/>
      <c r="K40" s="5"/>
      <c r="L40" s="5"/>
      <c r="M40" s="5"/>
      <c r="N40" s="5"/>
      <c r="O40" s="5"/>
      <c r="P40" s="5"/>
      <c r="Q40" s="5"/>
    </row>
    <row r="41" spans="1:17" ht="50.1" customHeight="1" thickBot="1">
      <c r="A41" s="12"/>
      <c r="B41" s="2" t="s">
        <v>43</v>
      </c>
      <c r="C41" s="13" t="s">
        <v>125</v>
      </c>
      <c r="D41" s="2" t="s">
        <v>11</v>
      </c>
      <c r="E41" s="28">
        <f>IF(AND('Calcul DF,DF+SF'!$J$24=13, 'Calcul DF,DF+SF'!$U$24=13, 'Calcul DF,DF+SF'!$AF$24=13), 3,
IF(OR(AND('Calcul DF,DF+SF'!$J$24=13, 'Calcul DF,DF+SF'!$U$24=13),
      AND('Calcul DF,DF+SF'!$J$24=13, 'Calcul DF,DF+SF'!$AF$24=13),
      AND('Calcul DF,DF+SF'!$U$24=13, 'Calcul DF,DF+SF'!$AF$24=13)), 2,
IF(OR('Calcul DF,DF+SF'!$J$24=13, 'Calcul DF,DF+SF'!$U$24=13, 'Calcul DF,DF+SF'!$AF$24=13), 1, 0)))</f>
        <v>0</v>
      </c>
      <c r="F41" s="286">
        <v>283</v>
      </c>
      <c r="G41" s="33">
        <f t="shared" si="0"/>
        <v>0</v>
      </c>
      <c r="H41" s="248">
        <f t="shared" si="1"/>
        <v>0</v>
      </c>
      <c r="I41" s="247"/>
      <c r="J41" s="5"/>
      <c r="K41" s="5"/>
      <c r="L41" s="5"/>
      <c r="M41" s="5"/>
      <c r="N41" s="5"/>
      <c r="O41" s="5"/>
      <c r="P41" s="5"/>
      <c r="Q41" s="5"/>
    </row>
    <row r="42" spans="1:17" ht="50.1" customHeight="1" thickBot="1">
      <c r="A42" s="12"/>
      <c r="B42" s="2" t="s">
        <v>44</v>
      </c>
      <c r="C42" s="13" t="s">
        <v>126</v>
      </c>
      <c r="D42" s="2" t="s">
        <v>11</v>
      </c>
      <c r="E42" s="28">
        <f>IF(AND('Calcul DF,DF+SF'!$J$24=14, 'Calcul DF,DF+SF'!$U$24=14, 'Calcul DF,DF+SF'!$AF$24=14), 3,
IF(OR(AND('Calcul DF,DF+SF'!$J$24=14, 'Calcul DF,DF+SF'!$U$24=14),
      AND('Calcul DF,DF+SF'!$J$24=14, 'Calcul DF,DF+SF'!$AF$24=14),
      AND('Calcul DF,DF+SF'!$U$24=14, 'Calcul DF,DF+SF'!$AF$24=14)), 2,
IF(OR('Calcul DF,DF+SF'!$J$24=14, 'Calcul DF,DF+SF'!$U$24=14, 'Calcul DF,DF+SF'!$AF$24=14), 1, 0)))</f>
        <v>0</v>
      </c>
      <c r="F42" s="286">
        <v>298</v>
      </c>
      <c r="G42" s="33">
        <f t="shared" si="0"/>
        <v>0</v>
      </c>
      <c r="H42" s="248">
        <f t="shared" si="1"/>
        <v>0</v>
      </c>
      <c r="I42" s="247"/>
      <c r="J42" s="5"/>
      <c r="K42" s="5"/>
      <c r="L42" s="5"/>
      <c r="M42" s="5"/>
      <c r="N42" s="5"/>
      <c r="O42" s="5"/>
      <c r="P42" s="5"/>
      <c r="Q42" s="5"/>
    </row>
    <row r="43" spans="1:17" ht="50.1" customHeight="1" thickBot="1">
      <c r="A43" s="12"/>
      <c r="B43" s="2" t="s">
        <v>45</v>
      </c>
      <c r="C43" s="13" t="s">
        <v>127</v>
      </c>
      <c r="D43" s="2" t="s">
        <v>11</v>
      </c>
      <c r="E43" s="28">
        <f>IF(AND('Calcul DF,DF+SF'!$J$24=15, 'Calcul DF,DF+SF'!$U$24=15, 'Calcul DF,DF+SF'!$AF$24=15), 3,
IF(OR(AND('Calcul DF,DF+SF'!$J$24=15, 'Calcul DF,DF+SF'!$U$24=15),
      AND('Calcul DF,DF+SF'!$J$24=15, 'Calcul DF,DF+SF'!$AF$24=15),
      AND('Calcul DF,DF+SF'!$U$24=15, 'Calcul DF,DF+SF'!$AF$24=15)), 2,
IF(OR('Calcul DF,DF+SF'!$J$24=15, 'Calcul DF,DF+SF'!$U$24=15, 'Calcul DF,DF+SF'!$AF$24=15), 1, 0)))</f>
        <v>0</v>
      </c>
      <c r="F43" s="286">
        <v>314</v>
      </c>
      <c r="G43" s="33">
        <f t="shared" si="0"/>
        <v>0</v>
      </c>
      <c r="H43" s="248">
        <f t="shared" si="1"/>
        <v>0</v>
      </c>
      <c r="I43" s="247"/>
      <c r="J43" s="5"/>
      <c r="K43" s="5"/>
      <c r="L43" s="5"/>
      <c r="M43" s="5"/>
      <c r="N43" s="5"/>
      <c r="O43" s="5"/>
      <c r="P43" s="5"/>
      <c r="Q43" s="5"/>
    </row>
    <row r="44" spans="1:17" ht="18" customHeight="1" thickBot="1">
      <c r="A44" s="12"/>
      <c r="B44" s="327" t="s">
        <v>129</v>
      </c>
      <c r="C44" s="328" t="s">
        <v>420</v>
      </c>
      <c r="D44" s="2" t="s">
        <v>11</v>
      </c>
      <c r="E44" s="28"/>
      <c r="F44" s="286">
        <v>54</v>
      </c>
      <c r="G44" s="33">
        <f t="shared" si="0"/>
        <v>0</v>
      </c>
      <c r="H44" s="248">
        <f t="shared" si="1"/>
        <v>0</v>
      </c>
      <c r="I44" s="247"/>
      <c r="J44" s="5"/>
      <c r="K44" s="5"/>
      <c r="L44" s="5"/>
      <c r="M44" s="5"/>
      <c r="N44" s="5"/>
      <c r="O44" s="5"/>
      <c r="P44" s="5"/>
      <c r="Q44" s="5"/>
    </row>
    <row r="45" spans="1:17" ht="18" customHeight="1" thickBot="1">
      <c r="A45" s="12"/>
      <c r="B45" s="327" t="s">
        <v>418</v>
      </c>
      <c r="C45" s="328" t="s">
        <v>419</v>
      </c>
      <c r="D45" s="2" t="s">
        <v>11</v>
      </c>
      <c r="E45" s="297"/>
      <c r="F45" s="286">
        <v>58</v>
      </c>
      <c r="G45" s="33">
        <f t="shared" si="0"/>
        <v>0</v>
      </c>
      <c r="H45" s="248">
        <f t="shared" si="1"/>
        <v>0</v>
      </c>
      <c r="I45" s="247"/>
      <c r="J45" s="5"/>
      <c r="K45" s="5"/>
      <c r="L45" s="5"/>
      <c r="M45" s="5"/>
      <c r="N45" s="5"/>
      <c r="O45" s="5"/>
      <c r="P45" s="5"/>
      <c r="Q45" s="5"/>
    </row>
    <row r="46" spans="1:17" ht="18" customHeight="1" thickBot="1">
      <c r="A46" s="12"/>
      <c r="B46" s="260" t="s">
        <v>421</v>
      </c>
      <c r="C46" s="332" t="s">
        <v>422</v>
      </c>
      <c r="D46" s="2" t="s">
        <v>11</v>
      </c>
      <c r="E46" s="297">
        <f>--OR('Calcul DF,DF+SF'!$J$24=2,'Calcul DF,DF+SF'!$J$24=3)
 +--OR('Calcul DF,DF+SF'!$U$24=2,'Calcul DF,DF+SF'!$U$24=3)
 +--OR('Calcul DF,DF+SF'!$AF$24=2,'Calcul DF,DF+SF'!$AF$24=3)</f>
        <v>0</v>
      </c>
      <c r="F46" s="286">
        <v>76</v>
      </c>
      <c r="G46" s="33">
        <f>E46*F46</f>
        <v>0</v>
      </c>
      <c r="H46" s="248">
        <f>E46</f>
        <v>0</v>
      </c>
      <c r="I46" s="247"/>
      <c r="J46" s="5"/>
      <c r="K46" s="5"/>
      <c r="L46" s="5"/>
      <c r="M46" s="5"/>
      <c r="N46" s="5"/>
      <c r="O46" s="5"/>
      <c r="P46" s="5"/>
      <c r="Q46" s="5"/>
    </row>
    <row r="47" spans="1:17" ht="18" customHeight="1" thickBot="1">
      <c r="A47" s="12"/>
      <c r="B47" s="260" t="s">
        <v>412</v>
      </c>
      <c r="C47" s="332" t="s">
        <v>423</v>
      </c>
      <c r="D47" s="2" t="s">
        <v>11</v>
      </c>
      <c r="E47" s="297" cm="1">
        <f t="array" ref="E47">--OR('Calcul DF,DF+SF'!$J$24={4,5,6,7})
 +--OR('Calcul DF,DF+SF'!$U$24={4,5,6,7})
 +--OR('Calcul DF,DF+SF'!$AF$24={4,5,6,7})</f>
        <v>0</v>
      </c>
      <c r="F47" s="286">
        <v>82</v>
      </c>
      <c r="G47" s="33">
        <f t="shared" si="0"/>
        <v>0</v>
      </c>
      <c r="H47" s="248">
        <f t="shared" si="1"/>
        <v>0</v>
      </c>
      <c r="I47" s="247"/>
      <c r="J47" s="5"/>
      <c r="K47" s="5"/>
      <c r="L47" s="5"/>
      <c r="M47" s="5"/>
      <c r="N47" s="5"/>
      <c r="O47" s="5"/>
      <c r="P47" s="5"/>
      <c r="Q47" s="5"/>
    </row>
    <row r="48" spans="1:17" ht="18" customHeight="1" thickBot="1">
      <c r="A48" s="12"/>
      <c r="B48" s="260" t="s">
        <v>130</v>
      </c>
      <c r="C48" s="332" t="s">
        <v>424</v>
      </c>
      <c r="D48" s="2" t="s">
        <v>11</v>
      </c>
      <c r="E48" s="297" cm="1">
        <f t="array" ref="E48">--OR('Calcul DF,DF+SF'!$J$24={8,9,10,11})
 +--OR('Calcul DF,DF+SF'!$U$24={8,9,10,11})
 +--OR('Calcul DF,DF+SF'!$AF$24={8,9,10,11})</f>
        <v>0</v>
      </c>
      <c r="F48" s="286">
        <v>96</v>
      </c>
      <c r="G48" s="33">
        <f t="shared" si="0"/>
        <v>0</v>
      </c>
      <c r="H48" s="248">
        <f t="shared" si="1"/>
        <v>0</v>
      </c>
      <c r="I48" s="247"/>
      <c r="J48" s="5"/>
      <c r="K48" s="5"/>
      <c r="L48" s="5"/>
      <c r="M48" s="5"/>
      <c r="N48" s="5"/>
      <c r="O48" s="5"/>
      <c r="P48" s="5"/>
      <c r="Q48" s="5"/>
    </row>
    <row r="49" spans="1:17" ht="18" customHeight="1" thickBot="1">
      <c r="A49" s="12"/>
      <c r="B49" s="260" t="s">
        <v>131</v>
      </c>
      <c r="C49" s="332" t="s">
        <v>425</v>
      </c>
      <c r="D49" s="2" t="s">
        <v>11</v>
      </c>
      <c r="E49" s="297" cm="1">
        <f t="array" ref="E49">--OR('Calcul DF,DF+SF'!$J$24={12,13})
 +--OR('Calcul DF,DF+SF'!$U$24={12,13})
 +--OR('Calcul DF,DF+SF'!$AF$24={12,13})</f>
        <v>0</v>
      </c>
      <c r="F49" s="286">
        <v>102</v>
      </c>
      <c r="G49" s="33">
        <f t="shared" si="0"/>
        <v>0</v>
      </c>
      <c r="H49" s="248">
        <f t="shared" si="1"/>
        <v>0</v>
      </c>
      <c r="I49" s="247"/>
      <c r="J49" s="5"/>
      <c r="K49" s="5"/>
      <c r="L49" s="5"/>
      <c r="M49" s="5"/>
      <c r="N49" s="5"/>
      <c r="O49" s="5"/>
      <c r="P49" s="5"/>
      <c r="Q49" s="5"/>
    </row>
    <row r="50" spans="1:17" ht="18" customHeight="1" thickBot="1">
      <c r="A50" s="12"/>
      <c r="B50" s="260" t="s">
        <v>325</v>
      </c>
      <c r="C50" s="332" t="s">
        <v>426</v>
      </c>
      <c r="D50" s="2" t="s">
        <v>11</v>
      </c>
      <c r="E50" s="297" cm="1">
        <f t="array" ref="E50">--OR('Calcul DF,DF+SF'!$J$24={14,15})
 +--OR('Calcul DF,DF+SF'!$U$24={14,15})
 +--OR('Calcul DF,DF+SF'!$AF$24={14,15})</f>
        <v>0</v>
      </c>
      <c r="F50" s="286">
        <v>120</v>
      </c>
      <c r="G50" s="33">
        <f t="shared" si="0"/>
        <v>0</v>
      </c>
      <c r="H50" s="248">
        <f t="shared" si="1"/>
        <v>0</v>
      </c>
      <c r="I50" s="247"/>
      <c r="J50" s="5"/>
      <c r="K50" s="5"/>
      <c r="L50" s="5"/>
      <c r="M50" s="5"/>
      <c r="N50" s="5"/>
      <c r="O50" s="5"/>
      <c r="P50" s="5"/>
      <c r="Q50" s="5"/>
    </row>
    <row r="51" spans="1:17" ht="18" customHeight="1" thickBot="1">
      <c r="A51" s="12"/>
      <c r="B51" s="2" t="s">
        <v>58</v>
      </c>
      <c r="C51" s="13" t="s">
        <v>138</v>
      </c>
      <c r="D51" s="2" t="s">
        <v>13</v>
      </c>
      <c r="E51" s="28">
        <f>'Calcul DF,DF+SF'!Z22</f>
        <v>0</v>
      </c>
      <c r="F51" s="286">
        <v>4</v>
      </c>
      <c r="G51" s="33">
        <f>E51*F51</f>
        <v>0</v>
      </c>
      <c r="H51" s="248">
        <f>E51</f>
        <v>0</v>
      </c>
      <c r="I51" s="247"/>
      <c r="J51" s="5"/>
      <c r="K51" s="5"/>
      <c r="L51" s="5"/>
      <c r="M51" s="5"/>
      <c r="N51" s="5"/>
      <c r="O51" s="5"/>
      <c r="P51" s="5"/>
      <c r="Q51" s="5"/>
    </row>
    <row r="52" spans="1:17" ht="27.9" customHeight="1" thickBot="1">
      <c r="A52" s="35"/>
      <c r="B52" s="36" t="s">
        <v>128</v>
      </c>
      <c r="C52" s="37" t="s">
        <v>427</v>
      </c>
      <c r="D52" s="36" t="s">
        <v>11</v>
      </c>
      <c r="E52" s="298">
        <f>IF(AND('Calcul DF,DF+SF'!$J$24&gt;0, 'Calcul DF,DF+SF'!$U$24&gt;0, 'Calcul DF,DF+SF'!$AF$24&gt;0), 3,
    IF(OR(AND('Calcul DF,DF+SF'!$J$24&gt;0, 'Calcul DF,DF+SF'!$U$24&gt;0),
          AND('Calcul DF,DF+SF'!$J$24&gt;0, 'Calcul DF,DF+SF'!$AF$24&gt;0),
          AND('Calcul DF,DF+SF'!$U$24&gt;0, 'Calcul DF,DF+SF'!$AF$24&gt;0)), 2,
    IF(OR('Calcul DF,DF+SF'!$J$24&gt;0, 'Calcul DF,DF+SF'!$U$24&gt;0, 'Calcul DF,DF+SF'!$AF$24&gt;0), 1, 0)))</f>
        <v>0</v>
      </c>
      <c r="F52" s="303">
        <v>342</v>
      </c>
      <c r="G52" s="38">
        <f>E52*F52</f>
        <v>0</v>
      </c>
      <c r="H52" s="248">
        <f>E52</f>
        <v>0</v>
      </c>
      <c r="I52" s="247"/>
      <c r="J52" s="5"/>
      <c r="K52" s="5"/>
      <c r="L52" s="5"/>
      <c r="M52" s="5"/>
      <c r="N52" s="5"/>
      <c r="O52" s="5"/>
      <c r="P52" s="5"/>
      <c r="Q52" s="5"/>
    </row>
    <row r="53" spans="1:17" ht="18" customHeight="1" thickTop="1" thickBot="1">
      <c r="A53" s="522" t="s">
        <v>25</v>
      </c>
      <c r="B53" s="523"/>
      <c r="C53" s="523"/>
      <c r="D53" s="523"/>
      <c r="E53" s="42"/>
      <c r="F53" s="43"/>
      <c r="G53" s="306">
        <f>SUM(G21:G52)</f>
        <v>0</v>
      </c>
      <c r="H53" s="249">
        <f>G53</f>
        <v>0</v>
      </c>
      <c r="I53" s="247"/>
      <c r="J53" s="5"/>
      <c r="K53" s="5"/>
      <c r="L53" s="5"/>
      <c r="M53" s="5"/>
      <c r="N53" s="5"/>
      <c r="O53" s="5"/>
      <c r="P53" s="5"/>
      <c r="Q53" s="5"/>
    </row>
    <row r="54" spans="1:17" ht="18" customHeight="1" thickTop="1" thickBot="1">
      <c r="A54" s="537" t="s">
        <v>156</v>
      </c>
      <c r="B54" s="546"/>
      <c r="C54" s="546"/>
      <c r="D54" s="546"/>
      <c r="E54" s="304">
        <v>0.05</v>
      </c>
      <c r="F54" s="10"/>
      <c r="G54" s="305">
        <f>G53*(1-E54)</f>
        <v>0</v>
      </c>
      <c r="H54" s="249">
        <f>G54</f>
        <v>0</v>
      </c>
      <c r="I54" s="247"/>
      <c r="J54" s="5"/>
      <c r="K54" s="5"/>
      <c r="L54" s="5"/>
      <c r="M54" s="5"/>
      <c r="N54" s="5"/>
      <c r="O54" s="5"/>
      <c r="P54" s="5"/>
      <c r="Q54" s="5"/>
    </row>
    <row r="55" spans="1:17" ht="18" customHeight="1" thickTop="1" thickBot="1">
      <c r="A55" s="522" t="s">
        <v>143</v>
      </c>
      <c r="B55" s="523"/>
      <c r="C55" s="523"/>
      <c r="D55" s="523"/>
      <c r="E55" s="42"/>
      <c r="F55" s="43"/>
      <c r="G55" s="48">
        <f>G54*1.21</f>
        <v>0</v>
      </c>
      <c r="H55" s="249">
        <f>G55</f>
        <v>0</v>
      </c>
      <c r="I55" s="247"/>
      <c r="J55" s="5"/>
      <c r="K55" s="5"/>
      <c r="L55" s="5"/>
      <c r="M55" s="5"/>
      <c r="N55" s="5"/>
      <c r="O55" s="5"/>
      <c r="P55" s="5"/>
      <c r="Q55" s="5"/>
    </row>
    <row r="56" spans="1:17" ht="16.5" customHeight="1" thickTop="1">
      <c r="A56" s="14"/>
      <c r="B56" s="15"/>
      <c r="C56" s="15"/>
      <c r="D56" s="15"/>
      <c r="E56" s="15"/>
      <c r="F56" s="15"/>
      <c r="G56" s="15"/>
      <c r="H56" s="250">
        <f>G75</f>
        <v>0</v>
      </c>
      <c r="I56" s="247"/>
      <c r="J56" s="5"/>
      <c r="K56" s="5"/>
      <c r="L56" s="5"/>
      <c r="M56" s="5"/>
      <c r="N56" s="5"/>
      <c r="O56" s="5"/>
      <c r="P56" s="5"/>
      <c r="Q56" s="5"/>
    </row>
    <row r="57" spans="1:17" ht="42" customHeight="1">
      <c r="A57" s="14"/>
      <c r="B57" s="15"/>
      <c r="C57" s="15"/>
      <c r="D57" s="15"/>
      <c r="E57" s="15"/>
      <c r="F57" s="15"/>
      <c r="G57" s="15"/>
      <c r="H57" s="250"/>
      <c r="I57" s="247"/>
      <c r="J57" s="5"/>
      <c r="K57" s="5"/>
      <c r="L57" s="5"/>
      <c r="M57" s="5"/>
      <c r="N57" s="5"/>
      <c r="O57" s="5"/>
      <c r="P57" s="5"/>
      <c r="Q57" s="5"/>
    </row>
    <row r="58" spans="1:17" ht="14.25" customHeight="1">
      <c r="A58" s="14"/>
      <c r="B58" s="15"/>
      <c r="C58" s="15"/>
      <c r="D58" s="15"/>
      <c r="E58" s="15"/>
      <c r="F58" s="15"/>
      <c r="G58" s="15"/>
      <c r="H58" s="250" t="s">
        <v>83</v>
      </c>
      <c r="I58" s="247"/>
      <c r="J58" s="5"/>
      <c r="K58" s="5"/>
      <c r="L58" s="5"/>
      <c r="M58" s="5"/>
      <c r="N58" s="5"/>
      <c r="O58" s="5"/>
      <c r="P58" s="5"/>
      <c r="Q58" s="5"/>
    </row>
    <row r="59" spans="1:17" ht="18.75" customHeight="1">
      <c r="A59" s="14" t="s">
        <v>184</v>
      </c>
      <c r="B59" s="15"/>
      <c r="C59" s="15"/>
      <c r="D59" s="15"/>
      <c r="E59" s="15"/>
      <c r="F59" s="15"/>
      <c r="G59" s="15"/>
      <c r="H59" s="250" t="s">
        <v>83</v>
      </c>
      <c r="I59" s="247"/>
      <c r="J59" s="5"/>
      <c r="K59" s="5"/>
      <c r="L59" s="5"/>
      <c r="M59" s="5"/>
      <c r="N59" s="5"/>
      <c r="O59" s="5"/>
      <c r="P59" s="5"/>
      <c r="Q59" s="5"/>
    </row>
    <row r="60" spans="1:17" ht="18.75" customHeight="1">
      <c r="A60" s="541"/>
      <c r="B60" s="541"/>
      <c r="C60" s="541"/>
      <c r="D60" s="541"/>
      <c r="E60" s="541"/>
      <c r="F60" s="541"/>
      <c r="G60" s="541"/>
      <c r="H60" s="250"/>
      <c r="I60" s="247"/>
      <c r="J60" s="5"/>
      <c r="K60" s="5"/>
      <c r="L60" s="5"/>
      <c r="M60" s="5"/>
      <c r="N60" s="5"/>
      <c r="O60" s="5"/>
      <c r="P60" s="5"/>
      <c r="Q60" s="5"/>
    </row>
    <row r="61" spans="1:17" ht="15.75" customHeight="1">
      <c r="A61" s="72"/>
      <c r="B61" s="72"/>
      <c r="C61" s="72"/>
      <c r="D61" s="72"/>
      <c r="E61" s="72"/>
      <c r="F61" s="72"/>
      <c r="G61" s="72"/>
      <c r="H61" s="250"/>
      <c r="I61" s="247"/>
      <c r="J61" s="5"/>
      <c r="K61" s="5"/>
      <c r="L61" s="5"/>
      <c r="M61" s="5"/>
      <c r="N61" s="5"/>
      <c r="O61" s="5"/>
      <c r="P61" s="5"/>
      <c r="Q61" s="5"/>
    </row>
    <row r="62" spans="1:17" ht="18.75" customHeight="1">
      <c r="A62" s="541" t="s">
        <v>287</v>
      </c>
      <c r="B62" s="541"/>
      <c r="C62" s="541"/>
      <c r="D62" s="541"/>
      <c r="E62" s="541"/>
      <c r="F62" s="541"/>
      <c r="G62" s="541"/>
      <c r="H62" s="250">
        <f>SUM(H70:H101)</f>
        <v>0</v>
      </c>
      <c r="I62" s="247"/>
      <c r="J62" s="5"/>
      <c r="K62" s="5"/>
      <c r="L62" s="5"/>
      <c r="M62" s="5"/>
      <c r="N62" s="5"/>
      <c r="O62" s="5"/>
      <c r="P62" s="5"/>
      <c r="Q62" s="5"/>
    </row>
    <row r="63" spans="1:17" ht="17.25" customHeight="1">
      <c r="A63" s="72"/>
      <c r="B63" s="72"/>
      <c r="C63" s="72"/>
      <c r="D63" s="72"/>
      <c r="E63" s="72"/>
      <c r="F63" s="72"/>
      <c r="G63" s="72"/>
      <c r="H63" s="250"/>
      <c r="I63" s="247"/>
      <c r="J63" s="5"/>
      <c r="K63" s="5"/>
      <c r="L63" s="5"/>
      <c r="M63" s="5"/>
      <c r="N63" s="5"/>
      <c r="O63" s="5"/>
      <c r="P63" s="5"/>
      <c r="Q63" s="5"/>
    </row>
    <row r="64" spans="1:17" ht="18" customHeight="1">
      <c r="A64" s="533" t="s">
        <v>26</v>
      </c>
      <c r="B64" s="533"/>
      <c r="C64" s="533"/>
      <c r="D64" s="533"/>
      <c r="E64" s="533"/>
      <c r="F64" s="533"/>
      <c r="G64" s="533"/>
      <c r="H64" s="250">
        <f>G81</f>
        <v>0</v>
      </c>
      <c r="I64" s="247"/>
      <c r="J64" s="5"/>
      <c r="K64" s="5"/>
      <c r="L64" s="5"/>
      <c r="M64" s="5"/>
      <c r="N64" s="5"/>
      <c r="O64" s="5"/>
      <c r="P64" s="5"/>
      <c r="Q64" s="5"/>
    </row>
    <row r="65" spans="1:24">
      <c r="A65" s="544"/>
      <c r="B65" s="544"/>
      <c r="C65" s="544"/>
      <c r="D65" s="544"/>
      <c r="E65" s="544"/>
      <c r="F65" s="544"/>
      <c r="G65" s="544"/>
      <c r="H65" s="249">
        <f>G81</f>
        <v>0</v>
      </c>
      <c r="I65" s="247"/>
      <c r="J65" s="5"/>
      <c r="K65" s="5"/>
      <c r="L65" s="5"/>
      <c r="M65" s="5"/>
      <c r="N65" s="5"/>
      <c r="O65" s="5"/>
      <c r="P65" s="5"/>
      <c r="Q65" s="5"/>
    </row>
    <row r="66" spans="1:24" ht="11.25" customHeight="1" thickBot="1">
      <c r="A66" s="16"/>
      <c r="B66" s="15"/>
      <c r="C66" s="15"/>
      <c r="D66" s="15"/>
      <c r="E66" s="15"/>
      <c r="F66" s="15"/>
      <c r="G66" s="15"/>
      <c r="H66" s="249">
        <f>G81</f>
        <v>0</v>
      </c>
      <c r="I66" s="247"/>
      <c r="J66" s="5"/>
      <c r="K66" s="5"/>
      <c r="L66" s="5"/>
      <c r="M66" s="5"/>
      <c r="N66" s="5"/>
      <c r="O66" s="5"/>
      <c r="P66" s="5"/>
      <c r="Q66" s="5"/>
    </row>
    <row r="67" spans="1:24" ht="18.75" customHeight="1" thickTop="1">
      <c r="A67" s="6" t="s">
        <v>1</v>
      </c>
      <c r="B67" s="518" t="s">
        <v>3</v>
      </c>
      <c r="C67" s="518" t="s">
        <v>4</v>
      </c>
      <c r="D67" s="518" t="s">
        <v>5</v>
      </c>
      <c r="E67" s="518" t="s">
        <v>6</v>
      </c>
      <c r="F67" s="7" t="s">
        <v>7</v>
      </c>
      <c r="G67" s="8" t="s">
        <v>9</v>
      </c>
      <c r="H67" s="249">
        <f>G81</f>
        <v>0</v>
      </c>
      <c r="I67" s="247"/>
      <c r="J67" s="5"/>
      <c r="K67" s="5"/>
      <c r="L67" s="5"/>
      <c r="M67" s="5"/>
      <c r="N67" s="5"/>
      <c r="O67" s="5"/>
      <c r="P67" s="5"/>
      <c r="Q67" s="5"/>
    </row>
    <row r="68" spans="1:24" ht="24" customHeight="1" thickBot="1">
      <c r="A68" s="17" t="s">
        <v>2</v>
      </c>
      <c r="B68" s="527"/>
      <c r="C68" s="527"/>
      <c r="D68" s="527"/>
      <c r="E68" s="527"/>
      <c r="F68" s="18" t="s">
        <v>8</v>
      </c>
      <c r="G68" s="19" t="s">
        <v>8</v>
      </c>
      <c r="H68" s="249">
        <f>G81</f>
        <v>0</v>
      </c>
      <c r="I68" s="247"/>
      <c r="J68" s="5"/>
      <c r="K68" s="5"/>
      <c r="L68" s="5"/>
      <c r="M68" s="5"/>
      <c r="N68" s="5"/>
      <c r="O68" s="5"/>
      <c r="P68" s="5"/>
      <c r="Q68" s="5"/>
    </row>
    <row r="69" spans="1:24" ht="18.75" customHeight="1" thickTop="1" thickBot="1">
      <c r="A69" s="571" t="s">
        <v>27</v>
      </c>
      <c r="B69" s="578"/>
      <c r="C69" s="578"/>
      <c r="D69" s="165"/>
      <c r="E69" s="165"/>
      <c r="F69" s="165"/>
      <c r="G69" s="153"/>
      <c r="H69" s="248">
        <f>SUM(H70:H72)</f>
        <v>0</v>
      </c>
      <c r="I69" s="247"/>
      <c r="J69" s="5"/>
      <c r="K69" s="5"/>
      <c r="L69" s="5"/>
      <c r="M69" s="5"/>
      <c r="N69" s="5"/>
      <c r="O69" s="5"/>
      <c r="P69" s="5"/>
      <c r="Q69" s="5"/>
      <c r="S69" s="5"/>
      <c r="T69" s="5"/>
      <c r="U69" s="5"/>
      <c r="V69" s="5"/>
      <c r="W69" s="5"/>
      <c r="X69" s="5"/>
    </row>
    <row r="70" spans="1:24" ht="27.9" customHeight="1" thickTop="1" thickBot="1">
      <c r="A70" s="12"/>
      <c r="B70" s="3" t="s">
        <v>28</v>
      </c>
      <c r="C70" s="13" t="s">
        <v>182</v>
      </c>
      <c r="D70" s="3" t="s">
        <v>11</v>
      </c>
      <c r="E70" s="299">
        <f>'Calcul DF,DF+SF'!K22</f>
        <v>0</v>
      </c>
      <c r="F70" s="287">
        <v>179</v>
      </c>
      <c r="G70" s="33">
        <f>E70*F70</f>
        <v>0</v>
      </c>
      <c r="H70" s="248">
        <f>E70</f>
        <v>0</v>
      </c>
      <c r="I70" s="247"/>
      <c r="J70" s="5"/>
      <c r="K70" s="5"/>
      <c r="L70" s="5"/>
      <c r="M70" s="5"/>
      <c r="N70" s="5"/>
      <c r="O70" s="5"/>
      <c r="P70" s="5"/>
      <c r="Q70" s="5"/>
    </row>
    <row r="71" spans="1:24" ht="18.75" customHeight="1" thickBot="1">
      <c r="A71" s="12"/>
      <c r="B71" s="3" t="s">
        <v>29</v>
      </c>
      <c r="C71" s="13" t="s">
        <v>30</v>
      </c>
      <c r="D71" s="3" t="s">
        <v>11</v>
      </c>
      <c r="E71" s="299">
        <f>'Calcul DF,DF+SF'!H24</f>
        <v>0</v>
      </c>
      <c r="F71" s="286">
        <v>17</v>
      </c>
      <c r="G71" s="33">
        <f t="shared" ref="G71:G76" si="2">E71*F71</f>
        <v>0</v>
      </c>
      <c r="H71" s="248">
        <f t="shared" ref="H71:H76" si="3">E71</f>
        <v>0</v>
      </c>
      <c r="I71" s="247"/>
      <c r="J71" s="5"/>
      <c r="K71" s="5"/>
      <c r="L71" s="5"/>
      <c r="M71" s="5"/>
      <c r="N71" s="5"/>
      <c r="O71" s="5"/>
      <c r="P71" s="5"/>
      <c r="Q71" s="5"/>
    </row>
    <row r="72" spans="1:24" ht="18.75" customHeight="1" thickBot="1">
      <c r="A72" s="35"/>
      <c r="B72" s="40" t="s">
        <v>31</v>
      </c>
      <c r="C72" s="37" t="s">
        <v>183</v>
      </c>
      <c r="D72" s="40" t="s">
        <v>11</v>
      </c>
      <c r="E72" s="300">
        <f>IF(OR('Calcul DF,DF+SF'!J22=0),0,'Calcul DF,DF+SF'!J22-1)</f>
        <v>0</v>
      </c>
      <c r="F72" s="288">
        <v>41</v>
      </c>
      <c r="G72" s="38">
        <f t="shared" si="2"/>
        <v>0</v>
      </c>
      <c r="H72" s="248">
        <f t="shared" si="3"/>
        <v>0</v>
      </c>
      <c r="I72" s="247"/>
      <c r="J72" s="5"/>
      <c r="K72" s="5"/>
      <c r="L72" s="5"/>
      <c r="M72" s="5"/>
      <c r="N72" s="5"/>
      <c r="O72" s="5"/>
      <c r="P72" s="5"/>
      <c r="Q72" s="5"/>
    </row>
    <row r="73" spans="1:24" ht="18.75" customHeight="1" thickTop="1" thickBot="1">
      <c r="A73" s="571" t="s">
        <v>326</v>
      </c>
      <c r="B73" s="572"/>
      <c r="C73" s="572"/>
      <c r="D73" s="165"/>
      <c r="E73" s="165"/>
      <c r="F73" s="14"/>
      <c r="G73" s="166"/>
      <c r="H73" s="248">
        <f>SUM(H74:H76)</f>
        <v>0</v>
      </c>
      <c r="I73" s="247"/>
      <c r="J73" s="5"/>
      <c r="K73" s="5"/>
      <c r="L73" s="5"/>
      <c r="M73" s="5"/>
      <c r="N73" s="5"/>
      <c r="O73" s="5"/>
      <c r="P73" s="5"/>
      <c r="Q73" s="5"/>
    </row>
    <row r="74" spans="1:24" ht="27.9" customHeight="1" thickTop="1" thickBot="1">
      <c r="A74" s="12"/>
      <c r="B74" s="3" t="s">
        <v>28</v>
      </c>
      <c r="C74" s="13" t="s">
        <v>182</v>
      </c>
      <c r="D74" s="3" t="s">
        <v>11</v>
      </c>
      <c r="E74" s="299">
        <f>'Calcul DF,DF+SF'!V22</f>
        <v>0</v>
      </c>
      <c r="F74" s="287">
        <v>179</v>
      </c>
      <c r="G74" s="33">
        <f t="shared" si="2"/>
        <v>0</v>
      </c>
      <c r="H74" s="248">
        <f t="shared" si="3"/>
        <v>0</v>
      </c>
      <c r="I74" s="247"/>
      <c r="J74" s="5"/>
      <c r="K74" s="5"/>
      <c r="L74" s="5"/>
      <c r="M74" s="5"/>
      <c r="N74" s="5"/>
      <c r="O74" s="5"/>
      <c r="P74" s="5"/>
      <c r="Q74" s="5"/>
    </row>
    <row r="75" spans="1:24" ht="18.75" customHeight="1" thickBot="1">
      <c r="A75" s="12"/>
      <c r="B75" s="3" t="s">
        <v>29</v>
      </c>
      <c r="C75" s="13" t="s">
        <v>30</v>
      </c>
      <c r="D75" s="3" t="s">
        <v>11</v>
      </c>
      <c r="E75" s="299">
        <f>'Calcul DF,DF+SF'!S24</f>
        <v>0</v>
      </c>
      <c r="F75" s="286">
        <v>17</v>
      </c>
      <c r="G75" s="33">
        <f t="shared" si="2"/>
        <v>0</v>
      </c>
      <c r="H75" s="248">
        <f t="shared" si="3"/>
        <v>0</v>
      </c>
      <c r="I75" s="247"/>
      <c r="J75" s="5"/>
      <c r="K75" s="5"/>
      <c r="L75" s="5"/>
      <c r="M75" s="5"/>
      <c r="N75" s="5"/>
      <c r="O75" s="5"/>
      <c r="P75" s="5"/>
      <c r="Q75" s="5"/>
    </row>
    <row r="76" spans="1:24" ht="18.75" customHeight="1" thickBot="1">
      <c r="A76" s="35"/>
      <c r="B76" s="40" t="s">
        <v>31</v>
      </c>
      <c r="C76" s="37" t="s">
        <v>183</v>
      </c>
      <c r="D76" s="40" t="s">
        <v>11</v>
      </c>
      <c r="E76" s="300">
        <f>IF(OR('Calcul DF,DF+SF'!U22=0),0,'Calcul DF,DF+SF'!U22-1)</f>
        <v>0</v>
      </c>
      <c r="F76" s="288">
        <v>41</v>
      </c>
      <c r="G76" s="38">
        <f t="shared" si="2"/>
        <v>0</v>
      </c>
      <c r="H76" s="248">
        <f t="shared" si="3"/>
        <v>0</v>
      </c>
      <c r="I76" s="247"/>
      <c r="J76" s="5"/>
      <c r="K76" s="5"/>
      <c r="L76" s="5"/>
      <c r="M76" s="5"/>
      <c r="N76" s="5"/>
      <c r="O76" s="5"/>
      <c r="P76" s="5"/>
      <c r="Q76" s="5"/>
    </row>
    <row r="77" spans="1:24" ht="18.75" customHeight="1" thickTop="1" thickBot="1">
      <c r="A77" s="571" t="s">
        <v>32</v>
      </c>
      <c r="B77" s="572"/>
      <c r="C77" s="572"/>
      <c r="D77" s="165"/>
      <c r="E77" s="165"/>
      <c r="F77" s="14"/>
      <c r="G77" s="166"/>
      <c r="H77" s="248">
        <f>SUM(H78:H80)</f>
        <v>0</v>
      </c>
      <c r="I77" s="247"/>
      <c r="J77" s="5"/>
      <c r="K77" s="5"/>
      <c r="L77" s="5"/>
      <c r="M77" s="5"/>
      <c r="N77" s="5"/>
      <c r="O77" s="5"/>
      <c r="P77" s="5"/>
      <c r="Q77" s="5"/>
    </row>
    <row r="78" spans="1:24" ht="25.5" customHeight="1" thickTop="1" thickBot="1">
      <c r="A78" s="12"/>
      <c r="B78" s="3" t="s">
        <v>28</v>
      </c>
      <c r="C78" s="13" t="s">
        <v>182</v>
      </c>
      <c r="D78" s="3" t="s">
        <v>11</v>
      </c>
      <c r="E78" s="299">
        <f>'Calcul DF,DF+SF'!AE22</f>
        <v>0</v>
      </c>
      <c r="F78" s="287">
        <v>179</v>
      </c>
      <c r="G78" s="33">
        <f>E78*F78</f>
        <v>0</v>
      </c>
      <c r="H78" s="248">
        <f>E78</f>
        <v>0</v>
      </c>
      <c r="I78" s="247"/>
      <c r="J78" s="5"/>
      <c r="K78" s="5"/>
      <c r="L78" s="5"/>
      <c r="M78" s="5"/>
      <c r="N78" s="5"/>
      <c r="O78" s="5"/>
      <c r="P78" s="5"/>
      <c r="Q78" s="5"/>
    </row>
    <row r="79" spans="1:24" ht="18.75" customHeight="1" thickBot="1">
      <c r="A79" s="12"/>
      <c r="B79" s="3" t="s">
        <v>29</v>
      </c>
      <c r="C79" s="13" t="s">
        <v>30</v>
      </c>
      <c r="D79" s="3" t="s">
        <v>11</v>
      </c>
      <c r="E79" s="299">
        <f>'Calcul DF,DF+SF'!AD24</f>
        <v>0</v>
      </c>
      <c r="F79" s="286">
        <v>17</v>
      </c>
      <c r="G79" s="33">
        <f>E79*F79</f>
        <v>0</v>
      </c>
      <c r="H79" s="248">
        <f>E79</f>
        <v>0</v>
      </c>
      <c r="I79" s="247"/>
      <c r="J79" s="5"/>
      <c r="K79" s="5"/>
      <c r="L79" s="5"/>
      <c r="M79" s="5"/>
      <c r="N79" s="5"/>
      <c r="O79" s="5"/>
      <c r="P79" s="5"/>
      <c r="Q79" s="5"/>
    </row>
    <row r="80" spans="1:24" ht="18.75" customHeight="1" thickBot="1">
      <c r="A80" s="35"/>
      <c r="B80" s="40" t="s">
        <v>31</v>
      </c>
      <c r="C80" s="37" t="s">
        <v>183</v>
      </c>
      <c r="D80" s="40" t="s">
        <v>11</v>
      </c>
      <c r="E80" s="300">
        <f>IF(OR('Calcul DF,DF+SF'!AF22=0),0,'Calcul DF,DF+SF'!AF22-1)</f>
        <v>0</v>
      </c>
      <c r="F80" s="288">
        <v>41</v>
      </c>
      <c r="G80" s="164">
        <f>E80*F80</f>
        <v>0</v>
      </c>
      <c r="H80" s="248">
        <f>E80</f>
        <v>0</v>
      </c>
      <c r="I80" s="247"/>
      <c r="J80" s="5"/>
      <c r="K80" s="5"/>
      <c r="L80" s="5"/>
      <c r="M80" s="5"/>
      <c r="N80" s="5"/>
      <c r="O80" s="5"/>
      <c r="P80" s="5"/>
      <c r="Q80" s="5"/>
    </row>
    <row r="81" spans="1:17" ht="18.75" customHeight="1" thickTop="1" thickBot="1">
      <c r="A81" s="522" t="s">
        <v>25</v>
      </c>
      <c r="B81" s="523"/>
      <c r="C81" s="523"/>
      <c r="D81" s="523"/>
      <c r="E81" s="523"/>
      <c r="F81" s="577"/>
      <c r="G81" s="96">
        <f>SUM(G70:G80)</f>
        <v>0</v>
      </c>
      <c r="H81" s="251">
        <f>G81</f>
        <v>0</v>
      </c>
      <c r="I81" s="247"/>
      <c r="J81" s="5"/>
      <c r="K81" s="5"/>
      <c r="L81" s="5"/>
      <c r="M81" s="5"/>
      <c r="N81" s="5"/>
      <c r="O81" s="5"/>
      <c r="P81" s="5"/>
      <c r="Q81" s="5"/>
    </row>
    <row r="82" spans="1:17" ht="18.75" customHeight="1" thickTop="1" thickBot="1">
      <c r="A82" s="522" t="s">
        <v>157</v>
      </c>
      <c r="B82" s="523"/>
      <c r="C82" s="523"/>
      <c r="D82" s="523"/>
      <c r="E82" s="47">
        <v>0.05</v>
      </c>
      <c r="F82" s="42"/>
      <c r="G82" s="97">
        <f>G81*(1-E82)</f>
        <v>0</v>
      </c>
      <c r="H82" s="251">
        <f>G82</f>
        <v>0</v>
      </c>
      <c r="I82" s="247"/>
      <c r="J82" s="5"/>
      <c r="K82" s="5"/>
      <c r="L82" s="5"/>
      <c r="M82" s="5"/>
      <c r="N82" s="5"/>
      <c r="O82" s="5"/>
      <c r="P82" s="5"/>
      <c r="Q82" s="5"/>
    </row>
    <row r="83" spans="1:17" ht="18.75" customHeight="1" thickTop="1" thickBot="1">
      <c r="A83" s="547" t="s">
        <v>143</v>
      </c>
      <c r="B83" s="548"/>
      <c r="C83" s="548"/>
      <c r="D83" s="548"/>
      <c r="E83" s="548"/>
      <c r="F83" s="548"/>
      <c r="G83" s="99">
        <f>G82*1.21</f>
        <v>0</v>
      </c>
      <c r="H83" s="251">
        <f>G83</f>
        <v>0</v>
      </c>
      <c r="I83" s="247"/>
      <c r="J83" s="5"/>
      <c r="K83" s="5"/>
      <c r="L83" s="5"/>
      <c r="M83" s="5"/>
      <c r="N83" s="5"/>
      <c r="O83" s="5"/>
      <c r="P83" s="5"/>
      <c r="Q83" s="5"/>
    </row>
    <row r="84" spans="1:17" ht="18.75" customHeight="1" thickTop="1">
      <c r="A84" s="14"/>
      <c r="B84" s="15"/>
      <c r="C84" s="15"/>
      <c r="D84" s="15"/>
      <c r="E84" s="15"/>
      <c r="F84" s="15"/>
      <c r="G84" s="15"/>
      <c r="H84" s="251">
        <f>G102</f>
        <v>0</v>
      </c>
      <c r="I84" s="247"/>
      <c r="J84" s="5"/>
      <c r="K84" s="5"/>
      <c r="L84" s="5"/>
      <c r="M84" s="5"/>
      <c r="N84" s="5"/>
      <c r="O84" s="5"/>
      <c r="P84" s="5"/>
      <c r="Q84" s="5"/>
    </row>
    <row r="85" spans="1:17" ht="18" customHeight="1">
      <c r="A85" s="549" t="s">
        <v>178</v>
      </c>
      <c r="B85" s="549"/>
      <c r="C85" s="549"/>
      <c r="D85" s="549"/>
      <c r="E85" s="549"/>
      <c r="F85" s="549"/>
      <c r="G85" s="549"/>
      <c r="H85" s="251">
        <f>G102</f>
        <v>0</v>
      </c>
      <c r="I85" s="247"/>
      <c r="J85" s="5"/>
      <c r="K85" s="5"/>
      <c r="L85" s="5"/>
      <c r="M85" s="5"/>
      <c r="N85" s="5"/>
      <c r="O85" s="5"/>
      <c r="P85" s="5"/>
      <c r="Q85" s="5"/>
    </row>
    <row r="86" spans="1:17" ht="15.9" customHeight="1">
      <c r="A86" s="544"/>
      <c r="B86" s="544"/>
      <c r="C86" s="544"/>
      <c r="D86" s="544"/>
      <c r="E86" s="544"/>
      <c r="F86" s="544"/>
      <c r="G86" s="544"/>
      <c r="H86" s="251">
        <f>G102</f>
        <v>0</v>
      </c>
      <c r="I86" s="247"/>
      <c r="J86" s="5"/>
      <c r="K86" s="5"/>
      <c r="L86" s="5"/>
      <c r="M86" s="5"/>
      <c r="N86" s="5"/>
      <c r="O86" s="5"/>
      <c r="P86" s="5"/>
      <c r="Q86" s="5"/>
    </row>
    <row r="87" spans="1:17" ht="18" customHeight="1" thickBot="1">
      <c r="A87" s="16"/>
      <c r="B87" s="15"/>
      <c r="C87" s="15"/>
      <c r="D87" s="15"/>
      <c r="E87" s="15"/>
      <c r="F87" s="15"/>
      <c r="G87" s="15"/>
      <c r="H87" s="251">
        <f>G102</f>
        <v>0</v>
      </c>
      <c r="I87" s="247"/>
      <c r="J87" s="5"/>
      <c r="K87" s="5"/>
      <c r="L87" s="5"/>
      <c r="M87" s="5"/>
      <c r="N87" s="5"/>
      <c r="O87" s="5"/>
      <c r="P87" s="5"/>
      <c r="Q87" s="5"/>
    </row>
    <row r="88" spans="1:17" ht="18" customHeight="1" thickTop="1">
      <c r="A88" s="6" t="s">
        <v>1</v>
      </c>
      <c r="B88" s="518" t="s">
        <v>3</v>
      </c>
      <c r="C88" s="518" t="s">
        <v>4</v>
      </c>
      <c r="D88" s="518" t="s">
        <v>5</v>
      </c>
      <c r="E88" s="518" t="s">
        <v>6</v>
      </c>
      <c r="F88" s="7" t="s">
        <v>7</v>
      </c>
      <c r="G88" s="8" t="s">
        <v>9</v>
      </c>
      <c r="H88" s="251">
        <f>G102</f>
        <v>0</v>
      </c>
      <c r="I88" s="247"/>
      <c r="J88" s="5"/>
      <c r="K88" s="5"/>
      <c r="L88" s="5"/>
      <c r="M88" s="5"/>
      <c r="N88" s="5"/>
      <c r="O88" s="5"/>
      <c r="P88" s="5"/>
      <c r="Q88" s="5"/>
    </row>
    <row r="89" spans="1:17" ht="24.75" customHeight="1" thickBot="1">
      <c r="A89" s="17" t="s">
        <v>2</v>
      </c>
      <c r="B89" s="527"/>
      <c r="C89" s="527"/>
      <c r="D89" s="527"/>
      <c r="E89" s="527"/>
      <c r="F89" s="18" t="s">
        <v>8</v>
      </c>
      <c r="G89" s="19" t="s">
        <v>8</v>
      </c>
      <c r="H89" s="251">
        <f>G102</f>
        <v>0</v>
      </c>
      <c r="I89" s="247"/>
      <c r="J89" s="5"/>
      <c r="K89" s="5"/>
      <c r="L89" s="5"/>
      <c r="M89" s="5"/>
      <c r="N89" s="5"/>
      <c r="O89" s="5"/>
      <c r="P89" s="5"/>
      <c r="Q89" s="5"/>
    </row>
    <row r="90" spans="1:17" ht="18.75" customHeight="1" thickTop="1" thickBot="1">
      <c r="A90" s="571" t="s">
        <v>27</v>
      </c>
      <c r="B90" s="578"/>
      <c r="C90" s="578"/>
      <c r="D90" s="165"/>
      <c r="E90" s="165"/>
      <c r="F90" s="165"/>
      <c r="G90" s="153"/>
      <c r="H90" s="248">
        <f>SUM(H91:H93)</f>
        <v>0</v>
      </c>
      <c r="I90" s="247"/>
      <c r="J90" s="5"/>
      <c r="K90" s="5"/>
      <c r="L90" s="5"/>
      <c r="M90" s="5"/>
      <c r="N90" s="5"/>
      <c r="O90" s="5"/>
      <c r="P90" s="5"/>
      <c r="Q90" s="5"/>
    </row>
    <row r="91" spans="1:17" ht="27.9" customHeight="1" thickTop="1" thickBot="1">
      <c r="A91" s="12"/>
      <c r="B91" s="3" t="s">
        <v>376</v>
      </c>
      <c r="C91" s="13" t="s">
        <v>379</v>
      </c>
      <c r="D91" s="3" t="s">
        <v>11</v>
      </c>
      <c r="E91" s="299">
        <f>'Calcul DF,DF+SF'!K22</f>
        <v>0</v>
      </c>
      <c r="F91" s="287">
        <v>229</v>
      </c>
      <c r="G91" s="33">
        <f>E91*F91</f>
        <v>0</v>
      </c>
      <c r="H91" s="248">
        <f>E91</f>
        <v>0</v>
      </c>
      <c r="I91" s="247"/>
      <c r="J91" s="5"/>
      <c r="K91" s="5"/>
      <c r="L91" s="5"/>
      <c r="M91" s="5"/>
      <c r="N91" s="5"/>
      <c r="O91" s="5"/>
      <c r="P91" s="5"/>
      <c r="Q91" s="5"/>
    </row>
    <row r="92" spans="1:17" ht="18.75" customHeight="1" thickBot="1">
      <c r="A92" s="12"/>
      <c r="B92" s="3" t="s">
        <v>29</v>
      </c>
      <c r="C92" s="13" t="s">
        <v>30</v>
      </c>
      <c r="D92" s="3" t="s">
        <v>11</v>
      </c>
      <c r="E92" s="299">
        <f>'Calcul DF,DF+SF'!H24</f>
        <v>0</v>
      </c>
      <c r="F92" s="286">
        <v>17</v>
      </c>
      <c r="G92" s="33">
        <f t="shared" ref="G92:G101" si="4">E92*F92</f>
        <v>0</v>
      </c>
      <c r="H92" s="248">
        <f>E92</f>
        <v>0</v>
      </c>
      <c r="I92" s="247"/>
      <c r="J92" s="5"/>
      <c r="K92" s="5"/>
      <c r="L92" s="5"/>
      <c r="M92" s="5"/>
      <c r="N92" s="5"/>
      <c r="O92" s="5"/>
      <c r="P92" s="5"/>
      <c r="Q92" s="5"/>
    </row>
    <row r="93" spans="1:17" ht="18.75" customHeight="1" thickBot="1">
      <c r="A93" s="35"/>
      <c r="B93" s="40" t="s">
        <v>377</v>
      </c>
      <c r="C93" s="37" t="s">
        <v>378</v>
      </c>
      <c r="D93" s="40" t="s">
        <v>11</v>
      </c>
      <c r="E93" s="300">
        <f>'Calcul DF,DF+SF'!J22</f>
        <v>0</v>
      </c>
      <c r="F93" s="303">
        <v>63</v>
      </c>
      <c r="G93" s="38">
        <f t="shared" si="4"/>
        <v>0</v>
      </c>
      <c r="H93" s="248">
        <f>E93</f>
        <v>0</v>
      </c>
      <c r="I93" s="247"/>
      <c r="J93" s="5"/>
      <c r="K93" s="5"/>
      <c r="L93" s="5"/>
      <c r="M93" s="5"/>
      <c r="N93" s="5"/>
      <c r="O93" s="5"/>
      <c r="P93" s="5"/>
      <c r="Q93" s="5"/>
    </row>
    <row r="94" spans="1:17" ht="18.75" customHeight="1" thickTop="1" thickBot="1">
      <c r="A94" s="571" t="s">
        <v>326</v>
      </c>
      <c r="B94" s="572"/>
      <c r="C94" s="572"/>
      <c r="D94" s="165"/>
      <c r="E94" s="165"/>
      <c r="F94" s="309"/>
      <c r="G94" s="166"/>
      <c r="H94" s="248">
        <f>SUM(H95:H97)</f>
        <v>0</v>
      </c>
      <c r="I94" s="247"/>
      <c r="J94" s="5"/>
      <c r="K94" s="5"/>
      <c r="L94" s="5"/>
      <c r="M94" s="5"/>
      <c r="N94" s="5"/>
      <c r="O94" s="5"/>
      <c r="P94" s="5"/>
      <c r="Q94" s="5"/>
    </row>
    <row r="95" spans="1:17" ht="27.9" customHeight="1" thickTop="1" thickBot="1">
      <c r="A95" s="12"/>
      <c r="B95" s="3" t="s">
        <v>376</v>
      </c>
      <c r="C95" s="13" t="s">
        <v>379</v>
      </c>
      <c r="D95" s="3" t="s">
        <v>11</v>
      </c>
      <c r="E95" s="299">
        <f>'Calcul DF,DF+SF'!V22</f>
        <v>0</v>
      </c>
      <c r="F95" s="287">
        <v>229</v>
      </c>
      <c r="G95" s="33">
        <f>E95*F95</f>
        <v>0</v>
      </c>
      <c r="H95" s="248">
        <f>E95</f>
        <v>0</v>
      </c>
      <c r="I95" s="247"/>
      <c r="J95" s="5"/>
      <c r="K95" s="5"/>
      <c r="L95" s="5"/>
      <c r="M95" s="5"/>
      <c r="N95" s="5"/>
      <c r="O95" s="5"/>
      <c r="P95" s="5"/>
      <c r="Q95" s="5"/>
    </row>
    <row r="96" spans="1:17" ht="18.75" customHeight="1" thickBot="1">
      <c r="A96" s="12"/>
      <c r="B96" s="3" t="s">
        <v>29</v>
      </c>
      <c r="C96" s="13" t="s">
        <v>30</v>
      </c>
      <c r="D96" s="3" t="s">
        <v>11</v>
      </c>
      <c r="E96" s="299">
        <f>'Calcul DF,DF+SF'!S24</f>
        <v>0</v>
      </c>
      <c r="F96" s="286">
        <v>17</v>
      </c>
      <c r="G96" s="33">
        <f>E96*F96</f>
        <v>0</v>
      </c>
      <c r="H96" s="248">
        <f>E96</f>
        <v>0</v>
      </c>
      <c r="I96" s="247"/>
      <c r="J96" s="5"/>
      <c r="K96" s="5"/>
      <c r="L96" s="5"/>
      <c r="M96" s="5"/>
      <c r="N96" s="5"/>
      <c r="O96" s="5"/>
      <c r="P96" s="5"/>
      <c r="Q96" s="5"/>
    </row>
    <row r="97" spans="1:36" ht="18.75" customHeight="1" thickBot="1">
      <c r="A97" s="35"/>
      <c r="B97" s="40" t="s">
        <v>377</v>
      </c>
      <c r="C97" s="37" t="s">
        <v>378</v>
      </c>
      <c r="D97" s="40" t="s">
        <v>11</v>
      </c>
      <c r="E97" s="300">
        <f>'Calcul DF,DF+SF'!U22</f>
        <v>0</v>
      </c>
      <c r="F97" s="303">
        <v>63</v>
      </c>
      <c r="G97" s="38">
        <f>E97*F97</f>
        <v>0</v>
      </c>
      <c r="H97" s="248">
        <f>E97</f>
        <v>0</v>
      </c>
      <c r="I97" s="247"/>
      <c r="J97" s="5"/>
      <c r="K97" s="5"/>
      <c r="L97" s="5"/>
      <c r="M97" s="5"/>
      <c r="N97" s="5"/>
      <c r="O97" s="5"/>
      <c r="P97" s="5"/>
      <c r="Q97" s="5"/>
    </row>
    <row r="98" spans="1:36" ht="18.75" customHeight="1" thickTop="1" thickBot="1">
      <c r="A98" s="571" t="s">
        <v>32</v>
      </c>
      <c r="B98" s="572"/>
      <c r="C98" s="572"/>
      <c r="D98" s="165"/>
      <c r="E98" s="165"/>
      <c r="F98" s="310"/>
      <c r="G98" s="166"/>
      <c r="H98" s="248">
        <f>SUM(H99:H101)</f>
        <v>0</v>
      </c>
      <c r="J98" s="5"/>
      <c r="K98" s="5"/>
    </row>
    <row r="99" spans="1:36" ht="27.9" customHeight="1" thickTop="1" thickBot="1">
      <c r="A99" s="12"/>
      <c r="B99" s="3" t="s">
        <v>376</v>
      </c>
      <c r="C99" s="13" t="s">
        <v>379</v>
      </c>
      <c r="D99" s="3" t="s">
        <v>11</v>
      </c>
      <c r="E99" s="299">
        <f>'Calcul DF,DF+SF'!AE22</f>
        <v>0</v>
      </c>
      <c r="F99" s="287">
        <v>229</v>
      </c>
      <c r="G99" s="33">
        <f t="shared" si="4"/>
        <v>0</v>
      </c>
      <c r="H99" s="248">
        <f>E99</f>
        <v>0</v>
      </c>
      <c r="J99" s="5"/>
      <c r="K99" s="5"/>
    </row>
    <row r="100" spans="1:36" ht="18.75" customHeight="1" thickBot="1">
      <c r="A100" s="12"/>
      <c r="B100" s="3" t="s">
        <v>29</v>
      </c>
      <c r="C100" s="13" t="s">
        <v>30</v>
      </c>
      <c r="D100" s="3" t="s">
        <v>11</v>
      </c>
      <c r="E100" s="308">
        <f>'Calcul DF,DF+SF'!AD24</f>
        <v>0</v>
      </c>
      <c r="F100" s="286">
        <v>17</v>
      </c>
      <c r="G100" s="33">
        <f t="shared" si="4"/>
        <v>0</v>
      </c>
      <c r="H100" s="248">
        <f>E100</f>
        <v>0</v>
      </c>
      <c r="J100" s="5"/>
      <c r="K100" s="5"/>
    </row>
    <row r="101" spans="1:36" ht="18.75" customHeight="1" thickBot="1">
      <c r="A101" s="35"/>
      <c r="B101" s="40" t="s">
        <v>377</v>
      </c>
      <c r="C101" s="37" t="s">
        <v>378</v>
      </c>
      <c r="D101" s="40" t="s">
        <v>11</v>
      </c>
      <c r="E101" s="300">
        <f>'Calcul DF,DF+SF'!AF22</f>
        <v>0</v>
      </c>
      <c r="F101" s="288">
        <v>63</v>
      </c>
      <c r="G101" s="38">
        <f t="shared" si="4"/>
        <v>0</v>
      </c>
      <c r="H101" s="248">
        <f>E101</f>
        <v>0</v>
      </c>
      <c r="J101" s="5"/>
      <c r="K101" s="5"/>
    </row>
    <row r="102" spans="1:36" ht="18.75" customHeight="1" thickTop="1" thickBot="1">
      <c r="A102" s="522" t="s">
        <v>25</v>
      </c>
      <c r="B102" s="523"/>
      <c r="C102" s="523"/>
      <c r="D102" s="523"/>
      <c r="E102" s="523"/>
      <c r="F102" s="577"/>
      <c r="G102" s="96">
        <f>SUM(G91:G101)</f>
        <v>0</v>
      </c>
      <c r="H102" s="251">
        <f>G102</f>
        <v>0</v>
      </c>
      <c r="J102" s="5"/>
      <c r="K102" s="5"/>
    </row>
    <row r="103" spans="1:36" ht="18.75" customHeight="1" thickTop="1" thickBot="1">
      <c r="A103" s="522" t="s">
        <v>157</v>
      </c>
      <c r="B103" s="539"/>
      <c r="C103" s="539"/>
      <c r="D103" s="539"/>
      <c r="E103" s="47">
        <v>0.05</v>
      </c>
      <c r="F103" s="42"/>
      <c r="G103" s="97">
        <f>G102*(1-E103)</f>
        <v>0</v>
      </c>
      <c r="H103" s="251">
        <f>G103</f>
        <v>0</v>
      </c>
      <c r="J103" s="5"/>
      <c r="K103" s="5"/>
    </row>
    <row r="104" spans="1:36" ht="18.75" customHeight="1" thickTop="1" thickBot="1">
      <c r="A104" s="522" t="s">
        <v>143</v>
      </c>
      <c r="B104" s="523"/>
      <c r="C104" s="523"/>
      <c r="D104" s="523"/>
      <c r="E104" s="523"/>
      <c r="F104" s="523"/>
      <c r="G104" s="98">
        <f>G103*1.21</f>
        <v>0</v>
      </c>
      <c r="H104" s="251">
        <f>G104</f>
        <v>0</v>
      </c>
      <c r="J104" s="5"/>
      <c r="K104" s="5"/>
    </row>
    <row r="105" spans="1:36" ht="18.75" customHeight="1" thickTop="1">
      <c r="A105" s="53"/>
      <c r="B105" s="53"/>
      <c r="C105" s="53"/>
      <c r="D105" s="53"/>
      <c r="E105" s="53"/>
      <c r="F105" s="53"/>
      <c r="G105" s="70"/>
      <c r="H105" s="251"/>
    </row>
    <row r="106" spans="1:36" ht="18.75" customHeight="1">
      <c r="A106" s="53"/>
      <c r="B106" s="53"/>
      <c r="C106" s="53"/>
      <c r="D106" s="53"/>
      <c r="E106" s="53"/>
      <c r="F106" s="53"/>
      <c r="G106" s="70"/>
      <c r="H106" s="251"/>
    </row>
    <row r="107" spans="1:36" ht="18" customHeight="1">
      <c r="I107" s="568"/>
      <c r="J107" s="568"/>
      <c r="K107" s="568"/>
      <c r="L107" s="73"/>
      <c r="M107" s="88"/>
      <c r="N107" s="88"/>
      <c r="O107" s="102"/>
      <c r="P107" s="100"/>
      <c r="Q107" s="92"/>
      <c r="R107" s="92"/>
      <c r="S107" s="92"/>
      <c r="T107" s="69"/>
      <c r="U107" s="69"/>
      <c r="V107" s="69"/>
      <c r="W107" s="69"/>
      <c r="X107" s="69"/>
      <c r="Y107" s="69"/>
      <c r="Z107" s="69"/>
      <c r="AA107" s="69"/>
      <c r="AB107" s="69"/>
      <c r="AC107" s="69"/>
      <c r="AD107" s="69"/>
      <c r="AE107" s="69"/>
      <c r="AF107" s="69"/>
      <c r="AG107" s="69"/>
      <c r="AH107" s="69"/>
      <c r="AI107" s="69"/>
      <c r="AJ107" s="69"/>
    </row>
    <row r="108" spans="1:36">
      <c r="I108" s="86"/>
      <c r="J108" s="81"/>
      <c r="K108" s="82"/>
      <c r="L108" s="82"/>
      <c r="M108" s="86"/>
      <c r="N108" s="86"/>
      <c r="O108" s="73"/>
      <c r="P108" s="100"/>
      <c r="Q108" s="92"/>
      <c r="R108" s="92"/>
      <c r="S108" s="92"/>
      <c r="T108" s="69"/>
      <c r="U108" s="69"/>
      <c r="V108" s="69"/>
      <c r="W108" s="69"/>
      <c r="X108" s="69"/>
      <c r="Y108" s="69"/>
      <c r="Z108" s="69"/>
      <c r="AA108" s="69"/>
      <c r="AB108" s="69"/>
      <c r="AC108" s="69"/>
      <c r="AD108" s="69"/>
      <c r="AE108" s="69"/>
      <c r="AF108" s="69"/>
      <c r="AG108" s="69"/>
      <c r="AH108" s="69"/>
      <c r="AI108" s="69"/>
      <c r="AJ108" s="69"/>
    </row>
    <row r="109" spans="1:36" ht="18.75" customHeight="1">
      <c r="A109" s="520" t="s">
        <v>335</v>
      </c>
      <c r="B109" s="521"/>
      <c r="C109" s="521"/>
      <c r="D109" s="521"/>
      <c r="E109" s="521"/>
      <c r="F109" s="521"/>
      <c r="G109" s="521"/>
      <c r="H109" s="251">
        <f>SUM(H111:H115)</f>
        <v>0</v>
      </c>
    </row>
    <row r="110" spans="1:36" ht="15" thickBot="1">
      <c r="A110" s="53"/>
      <c r="B110" s="53"/>
      <c r="C110" s="53"/>
      <c r="D110" s="53"/>
      <c r="E110" s="53"/>
      <c r="F110" s="53"/>
      <c r="G110" s="70"/>
      <c r="H110" s="251"/>
    </row>
    <row r="111" spans="1:36" ht="18" customHeight="1" thickTop="1">
      <c r="A111" s="6" t="s">
        <v>1</v>
      </c>
      <c r="B111" s="518"/>
      <c r="C111" s="518" t="s">
        <v>4</v>
      </c>
      <c r="D111" s="518" t="s">
        <v>5</v>
      </c>
      <c r="E111" s="518" t="s">
        <v>6</v>
      </c>
      <c r="F111" s="7" t="s">
        <v>7</v>
      </c>
      <c r="G111" s="8" t="s">
        <v>9</v>
      </c>
      <c r="H111" s="251">
        <f>G115</f>
        <v>0</v>
      </c>
    </row>
    <row r="112" spans="1:36" ht="18" customHeight="1" thickBot="1">
      <c r="A112" s="9" t="s">
        <v>2</v>
      </c>
      <c r="B112" s="519"/>
      <c r="C112" s="519"/>
      <c r="D112" s="519"/>
      <c r="E112" s="519"/>
      <c r="F112" s="10" t="s">
        <v>330</v>
      </c>
      <c r="G112" s="11" t="s">
        <v>330</v>
      </c>
      <c r="H112" s="251">
        <f>G115</f>
        <v>0</v>
      </c>
    </row>
    <row r="113" spans="1:26" ht="18" customHeight="1" thickTop="1" thickBot="1">
      <c r="A113" s="12"/>
      <c r="B113" s="3"/>
      <c r="C113" s="13" t="s">
        <v>329</v>
      </c>
      <c r="D113" s="3" t="s">
        <v>92</v>
      </c>
      <c r="E113" s="212">
        <f>'Calcul DF,DF+SF'!A24</f>
        <v>0</v>
      </c>
      <c r="F113" s="150">
        <v>13</v>
      </c>
      <c r="G113" s="33">
        <f>E113*F113</f>
        <v>0</v>
      </c>
      <c r="H113" s="251">
        <f>E113</f>
        <v>0</v>
      </c>
    </row>
    <row r="114" spans="1:26" ht="18" customHeight="1" thickBot="1">
      <c r="A114" s="221"/>
      <c r="B114" s="222"/>
      <c r="C114" s="220" t="s">
        <v>332</v>
      </c>
      <c r="D114" s="222" t="s">
        <v>331</v>
      </c>
      <c r="E114" s="225">
        <f>IF(AND(E70=1, E74=1, E78=1), 3,
IF(OR(AND(E70=1, E74=1), AND(E70=1, E78=1), AND(E74=1, E78=1)), 2,
IF(OR(E70=1, E74=1, E78=1), 1, 0)))</f>
        <v>0</v>
      </c>
      <c r="F114" s="225">
        <v>170</v>
      </c>
      <c r="G114" s="262">
        <f>E114*F114</f>
        <v>0</v>
      </c>
      <c r="H114" s="251">
        <f>E114</f>
        <v>0</v>
      </c>
    </row>
    <row r="115" spans="1:26" ht="18" customHeight="1" thickTop="1" thickBot="1">
      <c r="A115" s="522" t="s">
        <v>334</v>
      </c>
      <c r="B115" s="523"/>
      <c r="C115" s="523"/>
      <c r="D115" s="523"/>
      <c r="E115" s="523"/>
      <c r="F115" s="523"/>
      <c r="G115" s="98">
        <f>SUM(G113:G114)</f>
        <v>0</v>
      </c>
      <c r="H115" s="251">
        <f>G115</f>
        <v>0</v>
      </c>
    </row>
    <row r="116" spans="1:26" ht="18" customHeight="1" thickTop="1">
      <c r="A116" s="53"/>
      <c r="B116" s="53"/>
      <c r="C116" s="53"/>
      <c r="D116" s="53"/>
      <c r="E116" s="53"/>
      <c r="F116" s="53"/>
      <c r="G116" s="70"/>
      <c r="H116" s="251">
        <f>SUM(H111:H115)</f>
        <v>0</v>
      </c>
      <c r="J116" s="79"/>
      <c r="K116" s="80"/>
      <c r="L116" s="80"/>
      <c r="M116" s="78"/>
      <c r="N116" s="78"/>
      <c r="P116" s="49"/>
      <c r="Q116" s="92"/>
      <c r="R116" s="92"/>
      <c r="S116" s="92"/>
      <c r="T116" s="69"/>
      <c r="U116" s="69"/>
      <c r="V116" s="93"/>
      <c r="W116" s="88"/>
      <c r="X116" s="89"/>
      <c r="Y116" s="89"/>
      <c r="Z116" s="69"/>
    </row>
    <row r="117" spans="1:26" ht="18.75" customHeight="1">
      <c r="A117" s="520" t="s">
        <v>336</v>
      </c>
      <c r="B117" s="521"/>
      <c r="C117" s="521"/>
      <c r="D117" s="521"/>
      <c r="E117" s="521"/>
      <c r="F117" s="521"/>
      <c r="G117" s="521"/>
      <c r="H117" s="251">
        <f>SUM(H119:H123)</f>
        <v>0</v>
      </c>
    </row>
    <row r="118" spans="1:26" ht="15" thickBot="1">
      <c r="A118" s="53"/>
      <c r="B118" s="53"/>
      <c r="C118" s="53"/>
      <c r="D118" s="53"/>
      <c r="E118" s="53"/>
      <c r="F118" s="53"/>
      <c r="G118" s="70"/>
      <c r="H118" s="251">
        <f>G123</f>
        <v>0</v>
      </c>
    </row>
    <row r="119" spans="1:26" ht="18" customHeight="1" thickTop="1">
      <c r="A119" s="6" t="s">
        <v>1</v>
      </c>
      <c r="B119" s="518"/>
      <c r="C119" s="518" t="s">
        <v>4</v>
      </c>
      <c r="D119" s="518" t="s">
        <v>5</v>
      </c>
      <c r="E119" s="518" t="s">
        <v>6</v>
      </c>
      <c r="F119" s="7" t="s">
        <v>7</v>
      </c>
      <c r="G119" s="8" t="s">
        <v>9</v>
      </c>
      <c r="H119" s="251">
        <f>G123</f>
        <v>0</v>
      </c>
    </row>
    <row r="120" spans="1:26" ht="18" customHeight="1" thickBot="1">
      <c r="A120" s="9" t="s">
        <v>2</v>
      </c>
      <c r="B120" s="519"/>
      <c r="C120" s="519"/>
      <c r="D120" s="519"/>
      <c r="E120" s="519"/>
      <c r="F120" s="10" t="s">
        <v>330</v>
      </c>
      <c r="G120" s="11" t="s">
        <v>330</v>
      </c>
      <c r="H120" s="251">
        <f>G123</f>
        <v>0</v>
      </c>
    </row>
    <row r="121" spans="1:26" ht="18" customHeight="1" thickTop="1" thickBot="1">
      <c r="A121" s="12"/>
      <c r="B121" s="3"/>
      <c r="C121" s="13" t="s">
        <v>329</v>
      </c>
      <c r="D121" s="3" t="s">
        <v>92</v>
      </c>
      <c r="E121" s="212">
        <f>'Calcul DF,DF+SF'!A24</f>
        <v>0</v>
      </c>
      <c r="F121" s="150">
        <v>13</v>
      </c>
      <c r="G121" s="33">
        <f>E121*F121</f>
        <v>0</v>
      </c>
      <c r="H121" s="251">
        <f>E121</f>
        <v>0</v>
      </c>
    </row>
    <row r="122" spans="1:26" ht="18" customHeight="1" thickBot="1">
      <c r="A122" s="223"/>
      <c r="B122" s="224"/>
      <c r="C122" s="219" t="s">
        <v>333</v>
      </c>
      <c r="D122" s="227" t="s">
        <v>331</v>
      </c>
      <c r="E122" s="228">
        <f>IF(AND(E91=1, E95=1, E99=1), 3,
IF(OR(AND(E91=1, E95=1), AND(E91=1, E99=1), AND(E95=1, E99=1)), 2,
IF(OR(E91=1, E95=1, E99=1), 1, 0)))</f>
        <v>0</v>
      </c>
      <c r="F122" s="228">
        <v>110</v>
      </c>
      <c r="G122" s="263">
        <f>E122*F122</f>
        <v>0</v>
      </c>
      <c r="H122" s="251">
        <f>E122</f>
        <v>0</v>
      </c>
    </row>
    <row r="123" spans="1:26" ht="18" customHeight="1" thickTop="1" thickBot="1">
      <c r="A123" s="522" t="s">
        <v>334</v>
      </c>
      <c r="B123" s="523"/>
      <c r="C123" s="523"/>
      <c r="D123" s="523"/>
      <c r="E123" s="523"/>
      <c r="F123" s="523"/>
      <c r="G123" s="98">
        <f>SUM(G121:G122)</f>
        <v>0</v>
      </c>
      <c r="H123" s="251">
        <f>G123</f>
        <v>0</v>
      </c>
    </row>
    <row r="124" spans="1:26" ht="15" thickTop="1"/>
    <row r="126" spans="1:26" ht="18" customHeight="1">
      <c r="A126" s="544" t="s">
        <v>169</v>
      </c>
      <c r="B126" s="544"/>
      <c r="C126" s="544"/>
      <c r="D126" s="544"/>
      <c r="E126" s="544"/>
      <c r="F126" s="544"/>
      <c r="G126" s="544"/>
      <c r="J126" s="81"/>
      <c r="K126" s="82"/>
      <c r="L126" s="80"/>
      <c r="M126" s="78"/>
      <c r="N126" s="78"/>
      <c r="P126" s="49"/>
      <c r="Q126" s="50"/>
      <c r="R126" s="50"/>
      <c r="S126" s="50"/>
    </row>
    <row r="127" spans="1:26" ht="18" customHeight="1">
      <c r="A127" s="559" t="s">
        <v>170</v>
      </c>
      <c r="B127" s="559"/>
      <c r="C127" s="559"/>
      <c r="D127" s="559"/>
      <c r="E127" s="559"/>
      <c r="F127" s="559"/>
      <c r="G127" s="559"/>
      <c r="J127" s="79"/>
      <c r="K127" s="80"/>
      <c r="L127" s="80"/>
      <c r="M127" s="78"/>
      <c r="N127" s="78"/>
      <c r="P127" s="49"/>
      <c r="Q127" s="50"/>
      <c r="R127" s="50"/>
      <c r="S127" s="50"/>
    </row>
    <row r="128" spans="1:26" ht="27" customHeight="1">
      <c r="A128" s="559" t="s">
        <v>177</v>
      </c>
      <c r="B128" s="559"/>
      <c r="C128" s="559"/>
      <c r="D128" s="559"/>
      <c r="E128" s="559"/>
      <c r="F128" s="559"/>
      <c r="G128" s="559"/>
      <c r="J128" s="79"/>
      <c r="K128" s="80"/>
      <c r="L128" s="80"/>
      <c r="M128" s="78"/>
      <c r="N128" s="78"/>
      <c r="P128" s="49"/>
      <c r="Q128" s="50"/>
      <c r="R128" s="50"/>
      <c r="S128" s="50"/>
    </row>
    <row r="129" spans="1:26" ht="32.25" customHeight="1">
      <c r="A129" s="559" t="s">
        <v>328</v>
      </c>
      <c r="B129" s="559"/>
      <c r="C129" s="559"/>
      <c r="D129" s="559"/>
      <c r="E129" s="559"/>
      <c r="F129" s="559"/>
      <c r="G129" s="559"/>
      <c r="I129" s="558"/>
      <c r="J129" s="558"/>
      <c r="K129" s="558"/>
      <c r="L129" s="83"/>
      <c r="M129" s="84"/>
      <c r="N129" s="84"/>
      <c r="O129" s="51"/>
      <c r="P129" s="49"/>
      <c r="Q129" s="50"/>
      <c r="R129" s="50"/>
      <c r="S129" s="50"/>
    </row>
    <row r="130" spans="1:26" ht="30.75" customHeight="1">
      <c r="A130" s="559" t="s">
        <v>174</v>
      </c>
      <c r="B130" s="559"/>
      <c r="C130" s="559"/>
      <c r="D130" s="559"/>
      <c r="E130" s="559"/>
      <c r="F130" s="559"/>
      <c r="G130" s="559"/>
      <c r="I130" s="556"/>
      <c r="J130" s="79"/>
      <c r="K130" s="80"/>
      <c r="L130" s="80"/>
      <c r="M130" s="78"/>
      <c r="N130" s="78"/>
      <c r="O130" s="551"/>
      <c r="P130" s="49"/>
      <c r="Q130" s="50"/>
      <c r="R130" s="50"/>
      <c r="S130" s="50"/>
    </row>
    <row r="131" spans="1:26" ht="18" customHeight="1">
      <c r="A131" s="16"/>
      <c r="B131" s="16"/>
      <c r="C131" s="16"/>
      <c r="D131" s="16"/>
      <c r="E131" s="16"/>
      <c r="F131" s="16"/>
      <c r="G131" s="16"/>
      <c r="I131" s="607"/>
      <c r="J131" s="79"/>
      <c r="K131" s="80"/>
      <c r="L131" s="80"/>
      <c r="M131" s="78"/>
      <c r="N131" s="78"/>
      <c r="O131" s="552"/>
      <c r="P131" s="49"/>
      <c r="Q131" s="50"/>
      <c r="R131" s="50"/>
      <c r="S131" s="50"/>
    </row>
    <row r="132" spans="1:26" ht="18" customHeight="1">
      <c r="A132" s="560" t="s">
        <v>142</v>
      </c>
      <c r="B132" s="560"/>
      <c r="C132" s="560"/>
      <c r="G132" s="44"/>
      <c r="I132" s="607"/>
      <c r="J132" s="79"/>
      <c r="K132" s="80"/>
      <c r="L132" s="80"/>
      <c r="M132" s="78"/>
      <c r="N132" s="78"/>
      <c r="O132" s="552"/>
      <c r="P132" s="49"/>
      <c r="Q132" s="50"/>
      <c r="R132" s="50"/>
      <c r="S132" s="50"/>
    </row>
    <row r="133" spans="1:26" ht="18" customHeight="1">
      <c r="A133" s="561" t="s">
        <v>324</v>
      </c>
      <c r="B133" s="561"/>
      <c r="C133" s="561"/>
      <c r="D133" s="196"/>
      <c r="E133" s="210"/>
      <c r="F133" s="210"/>
      <c r="G133" s="211"/>
      <c r="I133" s="607"/>
      <c r="J133" s="79"/>
      <c r="K133" s="80"/>
      <c r="L133" s="80"/>
      <c r="M133" s="78"/>
      <c r="N133" s="78"/>
      <c r="O133" s="552"/>
      <c r="P133" s="49"/>
      <c r="Q133" s="50"/>
      <c r="R133" s="50"/>
      <c r="S133" s="50"/>
    </row>
    <row r="134" spans="1:26" ht="18" customHeight="1">
      <c r="A134" s="544" t="s">
        <v>56</v>
      </c>
      <c r="B134" s="544"/>
      <c r="C134" s="544"/>
      <c r="D134" s="544"/>
      <c r="E134" s="544"/>
      <c r="F134" s="544"/>
      <c r="G134" s="544"/>
      <c r="I134" s="607"/>
      <c r="J134" s="79"/>
      <c r="K134" s="80"/>
      <c r="L134" s="80"/>
      <c r="M134" s="78"/>
      <c r="N134" s="78"/>
      <c r="O134" s="552"/>
      <c r="P134" s="49"/>
      <c r="Q134" s="50"/>
      <c r="R134" s="50"/>
      <c r="S134" s="50"/>
    </row>
    <row r="135" spans="1:26" ht="18" customHeight="1">
      <c r="A135" s="544" t="s">
        <v>93</v>
      </c>
      <c r="B135" s="544"/>
      <c r="C135" s="544"/>
      <c r="D135" s="544"/>
      <c r="E135" s="544"/>
      <c r="F135" s="544"/>
      <c r="G135" s="544"/>
      <c r="I135" s="607"/>
      <c r="J135" s="79"/>
      <c r="K135" s="80"/>
      <c r="L135" s="80"/>
      <c r="M135" s="78"/>
      <c r="N135" s="78"/>
      <c r="O135" s="552"/>
      <c r="P135" s="49"/>
      <c r="Q135" s="50"/>
      <c r="R135" s="50"/>
      <c r="S135" s="50"/>
      <c r="U135" s="69"/>
    </row>
    <row r="136" spans="1:26" ht="18" customHeight="1">
      <c r="A136" s="544" t="s">
        <v>57</v>
      </c>
      <c r="B136" s="544"/>
      <c r="C136" s="544"/>
      <c r="D136" s="544"/>
      <c r="E136" s="544"/>
      <c r="F136" s="544"/>
      <c r="G136" s="544"/>
      <c r="I136" s="607"/>
      <c r="J136" s="79"/>
      <c r="K136" s="80"/>
      <c r="L136" s="80"/>
      <c r="M136" s="78"/>
      <c r="N136" s="78"/>
      <c r="O136" s="552"/>
      <c r="Q136" s="50"/>
      <c r="R136" s="50"/>
      <c r="S136" s="50"/>
    </row>
    <row r="137" spans="1:26" ht="18" customHeight="1">
      <c r="A137" s="16"/>
      <c r="B137" s="15"/>
      <c r="C137" s="15"/>
      <c r="D137" s="15"/>
      <c r="E137" s="15"/>
      <c r="F137" s="15"/>
      <c r="G137" s="15"/>
      <c r="I137" s="607"/>
      <c r="J137" s="79"/>
      <c r="K137" s="80"/>
      <c r="L137" s="80"/>
      <c r="M137" s="78"/>
      <c r="N137" s="78"/>
      <c r="O137" s="552"/>
      <c r="P137" s="49"/>
      <c r="Q137" s="50"/>
      <c r="R137" s="50"/>
      <c r="S137" s="50"/>
    </row>
    <row r="138" spans="1:26" ht="18" customHeight="1">
      <c r="A138" s="15"/>
      <c r="B138" s="21" t="s">
        <v>33</v>
      </c>
      <c r="C138" s="22"/>
      <c r="D138" s="22"/>
      <c r="E138" s="22"/>
      <c r="F138" s="22"/>
      <c r="G138" s="22"/>
      <c r="I138" s="607"/>
      <c r="J138" s="79"/>
      <c r="K138" s="80"/>
      <c r="L138" s="80"/>
      <c r="M138" s="78"/>
      <c r="N138" s="78"/>
      <c r="O138" s="552"/>
      <c r="P138" s="49"/>
      <c r="Q138" s="50"/>
      <c r="R138" s="50"/>
      <c r="S138" s="50"/>
    </row>
    <row r="139" spans="1:26" ht="18" customHeight="1">
      <c r="A139" s="15"/>
      <c r="B139" s="23"/>
      <c r="C139" s="24"/>
      <c r="D139" s="24"/>
      <c r="E139" s="24"/>
      <c r="F139" s="24"/>
      <c r="G139" s="24"/>
      <c r="I139" s="607"/>
      <c r="J139" s="79"/>
      <c r="K139" s="80"/>
      <c r="L139" s="80"/>
      <c r="M139" s="78"/>
      <c r="N139" s="78"/>
      <c r="O139" s="552"/>
      <c r="P139" s="49"/>
      <c r="Q139" s="50"/>
      <c r="R139" s="50"/>
      <c r="S139" s="50"/>
    </row>
    <row r="140" spans="1:26" ht="18" customHeight="1">
      <c r="A140" s="25"/>
      <c r="B140" s="553"/>
      <c r="C140" s="530"/>
      <c r="D140" s="25"/>
      <c r="E140" s="25"/>
      <c r="F140" s="25"/>
      <c r="G140" s="25"/>
      <c r="I140" s="607"/>
      <c r="J140" s="81"/>
      <c r="K140" s="82"/>
      <c r="L140" s="80"/>
      <c r="M140" s="78"/>
      <c r="N140" s="85"/>
      <c r="O140" s="552"/>
      <c r="P140" s="49"/>
      <c r="Q140" s="50"/>
      <c r="R140" s="50"/>
      <c r="S140" s="50"/>
    </row>
    <row r="141" spans="1:26" ht="15.75" customHeight="1">
      <c r="A141" s="25"/>
      <c r="B141" s="553" t="s">
        <v>34</v>
      </c>
      <c r="C141" s="530"/>
      <c r="D141" s="25"/>
      <c r="E141" s="25"/>
      <c r="F141" s="25"/>
      <c r="G141" s="25"/>
      <c r="I141" s="607"/>
      <c r="J141" s="77"/>
      <c r="K141" s="85"/>
      <c r="L141" s="80"/>
      <c r="M141" s="78"/>
      <c r="N141" s="85"/>
      <c r="O141" s="552"/>
      <c r="P141" s="49"/>
      <c r="Q141" s="50"/>
      <c r="R141" s="50"/>
      <c r="S141" s="50"/>
    </row>
    <row r="142" spans="1:26">
      <c r="H142" s="253"/>
      <c r="I142" s="253"/>
      <c r="J142" s="69"/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</row>
    <row r="143" spans="1:26">
      <c r="H143" s="253"/>
    </row>
  </sheetData>
  <autoFilter ref="H20:H123" xr:uid="{FB84A3FE-BF15-45E0-9D5A-2BEF3A09C225}"/>
  <mergeCells count="73">
    <mergeCell ref="A24:F24"/>
    <mergeCell ref="A9:G9"/>
    <mergeCell ref="A11:C11"/>
    <mergeCell ref="A21:C21"/>
    <mergeCell ref="A7:C7"/>
    <mergeCell ref="A10:G10"/>
    <mergeCell ref="A18:G18"/>
    <mergeCell ref="B19:B20"/>
    <mergeCell ref="C19:C20"/>
    <mergeCell ref="D19:D20"/>
    <mergeCell ref="E19:E20"/>
    <mergeCell ref="A1:C1"/>
    <mergeCell ref="A3:C3"/>
    <mergeCell ref="A4:C4"/>
    <mergeCell ref="A5:C5"/>
    <mergeCell ref="A6:C6"/>
    <mergeCell ref="A69:C69"/>
    <mergeCell ref="A73:C73"/>
    <mergeCell ref="A77:C77"/>
    <mergeCell ref="I129:K129"/>
    <mergeCell ref="I107:K107"/>
    <mergeCell ref="A109:G109"/>
    <mergeCell ref="A81:F81"/>
    <mergeCell ref="A82:D82"/>
    <mergeCell ref="A83:F83"/>
    <mergeCell ref="A85:G85"/>
    <mergeCell ref="A86:G86"/>
    <mergeCell ref="B88:B89"/>
    <mergeCell ref="C88:C89"/>
    <mergeCell ref="D88:D89"/>
    <mergeCell ref="E88:E89"/>
    <mergeCell ref="A90:C90"/>
    <mergeCell ref="A54:D54"/>
    <mergeCell ref="A53:D53"/>
    <mergeCell ref="A64:G64"/>
    <mergeCell ref="A65:G65"/>
    <mergeCell ref="B67:B68"/>
    <mergeCell ref="C67:C68"/>
    <mergeCell ref="D67:D68"/>
    <mergeCell ref="E67:E68"/>
    <mergeCell ref="A55:D55"/>
    <mergeCell ref="A60:G60"/>
    <mergeCell ref="A62:G62"/>
    <mergeCell ref="A94:C94"/>
    <mergeCell ref="A98:C98"/>
    <mergeCell ref="A102:F102"/>
    <mergeCell ref="A103:D103"/>
    <mergeCell ref="A104:F104"/>
    <mergeCell ref="B111:B112"/>
    <mergeCell ref="C111:C112"/>
    <mergeCell ref="D111:D112"/>
    <mergeCell ref="E111:E112"/>
    <mergeCell ref="A115:F115"/>
    <mergeCell ref="A117:G117"/>
    <mergeCell ref="B119:B120"/>
    <mergeCell ref="C119:C120"/>
    <mergeCell ref="D119:D120"/>
    <mergeCell ref="E119:E120"/>
    <mergeCell ref="A123:F123"/>
    <mergeCell ref="A126:G126"/>
    <mergeCell ref="A127:G127"/>
    <mergeCell ref="A128:G128"/>
    <mergeCell ref="A129:G129"/>
    <mergeCell ref="A130:G130"/>
    <mergeCell ref="I130:I141"/>
    <mergeCell ref="O130:O141"/>
    <mergeCell ref="A132:C132"/>
    <mergeCell ref="A133:C133"/>
    <mergeCell ref="A134:G134"/>
    <mergeCell ref="A135:G135"/>
    <mergeCell ref="A136:G136"/>
    <mergeCell ref="B140:C140"/>
    <mergeCell ref="B141:C141"/>
  </mergeCells>
  <hyperlinks>
    <hyperlink ref="B141" r:id="rId1" xr:uid="{FCAA40D0-9FE6-4944-AB8F-390CB0DDCE03}"/>
    <hyperlink ref="A133" r:id="rId2" xr:uid="{E5C194B7-66F3-4D11-843F-6D450A50951C}"/>
  </hyperlinks>
  <pageMargins left="0.70866141732283505" right="0.23622047244094499" top="1.14173228346457" bottom="1.1599999999999999" header="0.196850393700787" footer="0.15748031496063"/>
  <pageSetup paperSize="9" scale="83" orientation="portrait" r:id="rId3"/>
  <headerFooter scaleWithDoc="0" alignWithMargins="0">
    <oddHeader>&amp;L&amp;G&amp;R&amp;G</oddHeader>
    <oddFooter xml:space="preserve">&amp;L
RO33404978
J40/8589/2014
RO56INGB0000999915150915
ING BANK NV&amp;CStr. Învingătorilor nr. 27, Sector 3, București
Tel :  (+4) 0314.361.836
Mobil:  (+4) 0724.204.888
             (+4) 0766.367.287&amp;REmail: 
comercial@magnumheating.ro
</oddFooter>
  </headerFooter>
  <colBreaks count="1" manualBreakCount="1">
    <brk id="7" max="1048575" man="1"/>
  </colBreaks>
  <drawing r:id="rId4"/>
  <legacyDrawing r:id="rId5"/>
  <legacyDrawingHF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19</vt:i4>
      </vt:variant>
    </vt:vector>
  </HeadingPairs>
  <TitlesOfParts>
    <vt:vector size="38" baseType="lpstr">
      <vt:lpstr>Sistem SlimFit</vt:lpstr>
      <vt:lpstr>Sistem HeatBoard</vt:lpstr>
      <vt:lpstr>Sistem HB+SF</vt:lpstr>
      <vt:lpstr>Calcul SF,HB,HB+SF </vt:lpstr>
      <vt:lpstr>Sistem SpeeTile10</vt:lpstr>
      <vt:lpstr>SpeeTherm15-30</vt:lpstr>
      <vt:lpstr>SistemSpeeTile10+SpeeTherm15-30</vt:lpstr>
      <vt:lpstr>CalculSpeeTile10+SpeeTherm15-30</vt:lpstr>
      <vt:lpstr>Sistem DryFloor</vt:lpstr>
      <vt:lpstr>Sistem DF+SF</vt:lpstr>
      <vt:lpstr>Calcul DF,DF+SF</vt:lpstr>
      <vt:lpstr>Sistem Folie Tacker</vt:lpstr>
      <vt:lpstr>Sistem Placa Tacker </vt:lpstr>
      <vt:lpstr>Calcul Folie+Placa Tacker</vt:lpstr>
      <vt:lpstr>Sistem Nuturi</vt:lpstr>
      <vt:lpstr>Calcul Nuturi</vt:lpstr>
      <vt:lpstr>Sistem FiberBoard</vt:lpstr>
      <vt:lpstr>Calcul FiberBoard</vt:lpstr>
      <vt:lpstr>Toate sistemele agent termic</vt:lpstr>
      <vt:lpstr>'Calcul DF,DF+SF'!Print_Area</vt:lpstr>
      <vt:lpstr>'Calcul FiberBoard'!Print_Area</vt:lpstr>
      <vt:lpstr>'Calcul Folie+Placa Tacker'!Print_Area</vt:lpstr>
      <vt:lpstr>'Calcul Nuturi'!Print_Area</vt:lpstr>
      <vt:lpstr>'Calcul SF,HB,HB+SF '!Print_Area</vt:lpstr>
      <vt:lpstr>'CalculSpeeTile10+SpeeTherm15-30'!Print_Area</vt:lpstr>
      <vt:lpstr>'Sistem DF+SF'!Print_Area</vt:lpstr>
      <vt:lpstr>'Sistem DryFloor'!Print_Area</vt:lpstr>
      <vt:lpstr>'Sistem FiberBoard'!Print_Area</vt:lpstr>
      <vt:lpstr>'Sistem Folie Tacker'!Print_Area</vt:lpstr>
      <vt:lpstr>'Sistem HB+SF'!Print_Area</vt:lpstr>
      <vt:lpstr>'Sistem HeatBoard'!Print_Area</vt:lpstr>
      <vt:lpstr>'Sistem Nuturi'!Print_Area</vt:lpstr>
      <vt:lpstr>'Sistem Placa Tacker '!Print_Area</vt:lpstr>
      <vt:lpstr>'Sistem SlimFit'!Print_Area</vt:lpstr>
      <vt:lpstr>'Sistem SpeeTile10'!Print_Area</vt:lpstr>
      <vt:lpstr>'SistemSpeeTile10+SpeeTherm15-30'!Print_Area</vt:lpstr>
      <vt:lpstr>'SpeeTherm15-30'!Print_Area</vt:lpstr>
      <vt:lpstr>'Toate sistemele agent termic'!Print_Area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Fujitsu</dc:creator>
  <cp:lastModifiedBy>Comercial  (Magnum Heating RO)</cp:lastModifiedBy>
  <cp:lastPrinted>2026-03-10T08:27:10Z</cp:lastPrinted>
  <dcterms:created xsi:type="dcterms:W3CDTF">2022-07-26T13:17:27Z</dcterms:created>
  <dcterms:modified xsi:type="dcterms:W3CDTF">2026-04-02T07:49:21Z</dcterms:modified>
</cp:coreProperties>
</file>