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66925"/>
  <mc:AlternateContent xmlns:mc="http://schemas.openxmlformats.org/markup-compatibility/2006">
    <mc:Choice Requires="x15">
      <x15ac:absPath xmlns:x15ac="http://schemas.microsoft.com/office/spreadsheetml/2010/11/ac" url="C:\Users\Huawei\Desktop\Matrite Calcul 2026 ok\"/>
    </mc:Choice>
  </mc:AlternateContent>
  <xr:revisionPtr revIDLastSave="0" documentId="8_{09E8E954-62EA-408C-98F2-F3653CD47F25}" xr6:coauthVersionLast="47" xr6:coauthVersionMax="47" xr10:uidLastSave="{00000000-0000-0000-0000-000000000000}"/>
  <bookViews>
    <workbookView xWindow="28680" yWindow="-120" windowWidth="29040" windowHeight="15720" tabRatio="772" xr2:uid="{00000000-000D-0000-FFFF-FFFF00000000}"/>
  </bookViews>
  <sheets>
    <sheet name="KIT JGHEAB, BURLAN" sheetId="3" r:id="rId1"/>
    <sheet name="JGHEAB,BURLAN " sheetId="14" r:id="rId2"/>
    <sheet name="CABLU IN BETON" sheetId="2" r:id="rId3"/>
    <sheet name="CABLU IN  ASFALT" sheetId="7" r:id="rId4"/>
    <sheet name="COVOR IN ADEZIV" sheetId="5" r:id="rId5"/>
    <sheet name="COVOR IN BETON" sheetId="6" r:id="rId6"/>
    <sheet name="CABLU IDEAL" sheetId="4" r:id="rId7"/>
    <sheet name="conducte cu autoreg. si P ct." sheetId="11" r:id="rId8"/>
    <sheet name="calcule pt oferta" sheetId="8" state="hidden" r:id="rId9"/>
    <sheet name="Oferta Degivrare" sheetId="12" state="hidden" r:id="rId10"/>
    <sheet name="Sisteme incalzire el- degivrare" sheetId="17" r:id="rId11"/>
  </sheets>
  <definedNames>
    <definedName name="_xlnm._FilterDatabase" localSheetId="6" hidden="1">'CABLU IDEAL'!$H$19:$H$39</definedName>
    <definedName name="_xlnm._FilterDatabase" localSheetId="3" hidden="1">'CABLU IN  ASFALT'!$H$19:$H$39</definedName>
    <definedName name="_xlnm._FilterDatabase" localSheetId="2" hidden="1">'CABLU IN BETON'!$H$19:$H$49</definedName>
    <definedName name="_xlnm._FilterDatabase" localSheetId="8" hidden="1">'calcule pt oferta'!$H$27:$H$79</definedName>
    <definedName name="_xlnm._FilterDatabase" localSheetId="7" hidden="1">'conducte cu autoreg. si P ct.'!$H$27:$H$88</definedName>
    <definedName name="_xlnm._FilterDatabase" localSheetId="4" hidden="1">'COVOR IN ADEZIV'!$H$18:$H$33</definedName>
    <definedName name="_xlnm._FilterDatabase" localSheetId="5" hidden="1">'COVOR IN BETON'!$H$18:$H$37</definedName>
    <definedName name="_xlnm._FilterDatabase" localSheetId="1" hidden="1">'JGHEAB,BURLAN '!$H$23:$H$65</definedName>
    <definedName name="_xlnm._FilterDatabase" localSheetId="0" hidden="1">'KIT JGHEAB, BURLAN'!$H$19:$H$33</definedName>
    <definedName name="_xlnm._FilterDatabase" localSheetId="10" hidden="1">'Sisteme incalzire el- degivrare'!$H$17:$H$245</definedName>
    <definedName name="_Hlk75355259" localSheetId="6">'CABLU IDEAL'!#REF!</definedName>
    <definedName name="_Hlk75355259" localSheetId="3">'CABLU IN  ASFALT'!#REF!</definedName>
    <definedName name="_Hlk75355259" localSheetId="2">'CABLU IN BETON'!#REF!</definedName>
    <definedName name="_Hlk75355259" localSheetId="8">'calcule pt oferta'!#REF!</definedName>
    <definedName name="_Hlk75355259" localSheetId="7">'conducte cu autoreg. si P ct.'!#REF!</definedName>
    <definedName name="_Hlk75355259" localSheetId="4">'COVOR IN ADEZIV'!#REF!</definedName>
    <definedName name="_Hlk75355259" localSheetId="5">'COVOR IN BETON'!#REF!</definedName>
    <definedName name="_Hlk75355259" localSheetId="1">'JGHEAB,BURLAN '!#REF!</definedName>
    <definedName name="_Hlk75355259" localSheetId="0">'KIT JGHEAB, BURLAN'!#REF!</definedName>
    <definedName name="_Hlk75355259" localSheetId="9">'Oferta Degivrare'!#REF!</definedName>
    <definedName name="_Hlk75355259" localSheetId="10">'Sisteme incalzire el- degivrare'!#REF!</definedName>
    <definedName name="_Hlk77248064" localSheetId="6">'CABLU IDEAL'!#REF!</definedName>
    <definedName name="_Hlk77248064" localSheetId="3">'CABLU IN  ASFALT'!#REF!</definedName>
    <definedName name="_Hlk77248064" localSheetId="2">'CABLU IN BETON'!#REF!</definedName>
    <definedName name="_Hlk77248064" localSheetId="8">'calcule pt oferta'!#REF!</definedName>
    <definedName name="_Hlk77248064" localSheetId="7">'conducte cu autoreg. si P ct.'!#REF!</definedName>
    <definedName name="_Hlk77248064" localSheetId="4">'COVOR IN ADEZIV'!#REF!</definedName>
    <definedName name="_Hlk77248064" localSheetId="5">'COVOR IN BETON'!#REF!</definedName>
    <definedName name="_Hlk77248064" localSheetId="1">'JGHEAB,BURLAN '!#REF!</definedName>
    <definedName name="_Hlk77248064" localSheetId="0">'KIT JGHEAB, BURLAN'!#REF!</definedName>
    <definedName name="_Hlk77248064" localSheetId="9">'Oferta Degivrare'!#REF!</definedName>
    <definedName name="_Hlk77248064" localSheetId="10">'Sisteme incalzire el- degivrare'!#REF!</definedName>
    <definedName name="_xlnm.Print_Area" localSheetId="6">'CABLU IDEAL'!$A$1:$G$55</definedName>
    <definedName name="_xlnm.Print_Area" localSheetId="3">'CABLU IN  ASFALT'!$A$1:$G$82</definedName>
    <definedName name="_xlnm.Print_Area" localSheetId="2">'CABLU IN BETON'!$A$1:$G$97</definedName>
    <definedName name="_xlnm.Print_Area" localSheetId="8">'calcule pt oferta'!$A$1:$G$127</definedName>
    <definedName name="_xlnm.Print_Area" localSheetId="7">'conducte cu autoreg. si P ct.'!$A$1:$G$95</definedName>
    <definedName name="_xlnm.Print_Area" localSheetId="4">'COVOR IN ADEZIV'!$A$1:$G$53</definedName>
    <definedName name="_xlnm.Print_Area" localSheetId="5">'COVOR IN BETON'!$A$1:$G$53</definedName>
    <definedName name="_xlnm.Print_Area" localSheetId="1">'JGHEAB,BURLAN '!$A$1:$G$79</definedName>
    <definedName name="_xlnm.Print_Area" localSheetId="0">'KIT JGHEAB, BURLAN'!$A$1:$G$48</definedName>
    <definedName name="_xlnm.Print_Area" localSheetId="10">'Sisteme incalzire el- degivrare'!$A$1:$G$277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16" i="17" l="1"/>
  <c r="G190" i="17"/>
  <c r="G191" i="17"/>
  <c r="G192" i="17"/>
  <c r="G193" i="17"/>
  <c r="G194" i="17"/>
  <c r="G195" i="17"/>
  <c r="G196" i="17"/>
  <c r="G197" i="17"/>
  <c r="G198" i="17"/>
  <c r="G199" i="17"/>
  <c r="G200" i="17"/>
  <c r="G201" i="17"/>
  <c r="G202" i="17"/>
  <c r="G203" i="17"/>
  <c r="G204" i="17"/>
  <c r="G205" i="17"/>
  <c r="H132" i="17"/>
  <c r="G132" i="17"/>
  <c r="H131" i="17"/>
  <c r="G131" i="17"/>
  <c r="H130" i="17"/>
  <c r="G130" i="17"/>
  <c r="H129" i="17"/>
  <c r="G129" i="17"/>
  <c r="H128" i="17"/>
  <c r="G128" i="17"/>
  <c r="H127" i="17"/>
  <c r="G127" i="17"/>
  <c r="H126" i="17"/>
  <c r="G126" i="17"/>
  <c r="H125" i="17"/>
  <c r="G125" i="17"/>
  <c r="H124" i="17"/>
  <c r="G124" i="17"/>
  <c r="H123" i="17"/>
  <c r="G123" i="17"/>
  <c r="H122" i="17"/>
  <c r="G122" i="17"/>
  <c r="H121" i="17"/>
  <c r="G121" i="17"/>
  <c r="H120" i="17"/>
  <c r="G120" i="17"/>
  <c r="H119" i="17"/>
  <c r="G119" i="17"/>
  <c r="H118" i="17"/>
  <c r="G118" i="17"/>
  <c r="H117" i="17"/>
  <c r="G117" i="17"/>
  <c r="H116" i="17"/>
  <c r="G116" i="17"/>
  <c r="H155" i="17"/>
  <c r="G155" i="17"/>
  <c r="H153" i="17"/>
  <c r="G153" i="17"/>
  <c r="H98" i="17"/>
  <c r="G98" i="17"/>
  <c r="H115" i="17" l="1"/>
  <c r="E27" i="2"/>
  <c r="E26" i="2"/>
  <c r="E33" i="2"/>
  <c r="E32" i="2"/>
  <c r="E31" i="2"/>
  <c r="E30" i="2"/>
  <c r="E29" i="2"/>
  <c r="E28" i="2"/>
  <c r="E25" i="2"/>
  <c r="E23" i="2"/>
  <c r="E22" i="2"/>
  <c r="E21" i="2"/>
  <c r="H57" i="14"/>
  <c r="G57" i="14"/>
  <c r="H56" i="14"/>
  <c r="G56" i="14"/>
  <c r="G11" i="3"/>
  <c r="E21" i="3" s="1"/>
  <c r="M21" i="3" s="1"/>
  <c r="H205" i="17" l="1"/>
  <c r="H204" i="17"/>
  <c r="H203" i="17"/>
  <c r="H202" i="17"/>
  <c r="H201" i="17"/>
  <c r="H200" i="17"/>
  <c r="H199" i="17"/>
  <c r="H198" i="17"/>
  <c r="H197" i="17"/>
  <c r="H196" i="17"/>
  <c r="H195" i="17"/>
  <c r="H194" i="17"/>
  <c r="H193" i="17"/>
  <c r="H192" i="17"/>
  <c r="H191" i="17"/>
  <c r="H190" i="17"/>
  <c r="H189" i="17"/>
  <c r="G189" i="17"/>
  <c r="E29" i="11"/>
  <c r="E27" i="6"/>
  <c r="H27" i="6" s="1"/>
  <c r="E26" i="6"/>
  <c r="G26" i="6" s="1"/>
  <c r="E25" i="6"/>
  <c r="G25" i="6" s="1"/>
  <c r="E28" i="6"/>
  <c r="H28" i="6" s="1"/>
  <c r="E28" i="5"/>
  <c r="G28" i="5" s="1"/>
  <c r="E29" i="7"/>
  <c r="H29" i="7" s="1"/>
  <c r="E39" i="2"/>
  <c r="E60" i="14"/>
  <c r="H188" i="17" l="1"/>
  <c r="H26" i="6"/>
  <c r="H25" i="6"/>
  <c r="G27" i="6"/>
  <c r="G28" i="6"/>
  <c r="H28" i="5"/>
  <c r="G29" i="7"/>
  <c r="H39" i="2"/>
  <c r="G39" i="2" l="1"/>
  <c r="H62" i="14"/>
  <c r="G62" i="14"/>
  <c r="U83" i="14"/>
  <c r="T83" i="14" s="1"/>
  <c r="U84" i="14"/>
  <c r="T84" i="14" s="1"/>
  <c r="U157" i="14"/>
  <c r="T157" i="14" s="1"/>
  <c r="U158" i="14"/>
  <c r="T158" i="14" s="1"/>
  <c r="U163" i="14"/>
  <c r="T163" i="14" s="1"/>
  <c r="U164" i="14"/>
  <c r="T164" i="14" s="1"/>
  <c r="U86" i="14"/>
  <c r="T86" i="14" s="1"/>
  <c r="U87" i="14"/>
  <c r="T87" i="14" s="1"/>
  <c r="U90" i="14"/>
  <c r="T90" i="14" s="1"/>
  <c r="U91" i="14"/>
  <c r="T91" i="14" s="1"/>
  <c r="U92" i="14"/>
  <c r="T92" i="14" s="1"/>
  <c r="U93" i="14"/>
  <c r="T93" i="14" s="1"/>
  <c r="U94" i="14"/>
  <c r="T94" i="14" s="1"/>
  <c r="U95" i="14"/>
  <c r="T95" i="14" s="1"/>
  <c r="U96" i="14"/>
  <c r="T96" i="14" s="1"/>
  <c r="U97" i="14"/>
  <c r="T97" i="14" s="1"/>
  <c r="U98" i="14"/>
  <c r="T98" i="14" s="1"/>
  <c r="U99" i="14"/>
  <c r="T99" i="14" s="1"/>
  <c r="U100" i="14"/>
  <c r="T100" i="14" s="1"/>
  <c r="U101" i="14"/>
  <c r="T101" i="14" s="1"/>
  <c r="U102" i="14"/>
  <c r="T102" i="14" s="1"/>
  <c r="U103" i="14"/>
  <c r="T103" i="14" s="1"/>
  <c r="U104" i="14"/>
  <c r="T104" i="14" s="1"/>
  <c r="U105" i="14"/>
  <c r="T105" i="14" s="1"/>
  <c r="U106" i="14"/>
  <c r="T106" i="14" s="1"/>
  <c r="U107" i="14"/>
  <c r="T107" i="14" s="1"/>
  <c r="U108" i="14"/>
  <c r="T108" i="14" s="1"/>
  <c r="U109" i="14"/>
  <c r="T109" i="14" s="1"/>
  <c r="U110" i="14"/>
  <c r="T110" i="14" s="1"/>
  <c r="U111" i="14"/>
  <c r="T111" i="14" s="1"/>
  <c r="U112" i="14"/>
  <c r="T112" i="14" s="1"/>
  <c r="U113" i="14"/>
  <c r="T113" i="14" s="1"/>
  <c r="U114" i="14"/>
  <c r="T114" i="14" s="1"/>
  <c r="U115" i="14"/>
  <c r="T115" i="14" s="1"/>
  <c r="U116" i="14"/>
  <c r="T116" i="14" s="1"/>
  <c r="U117" i="14"/>
  <c r="T117" i="14" s="1"/>
  <c r="U118" i="14"/>
  <c r="T118" i="14" s="1"/>
  <c r="U119" i="14"/>
  <c r="T119" i="14" s="1"/>
  <c r="U120" i="14"/>
  <c r="T120" i="14" s="1"/>
  <c r="U121" i="14"/>
  <c r="T121" i="14" s="1"/>
  <c r="U122" i="14"/>
  <c r="T122" i="14" s="1"/>
  <c r="U123" i="14"/>
  <c r="T123" i="14" s="1"/>
  <c r="U124" i="14"/>
  <c r="T124" i="14" s="1"/>
  <c r="U125" i="14"/>
  <c r="T125" i="14" s="1"/>
  <c r="U126" i="14"/>
  <c r="T126" i="14" s="1"/>
  <c r="U127" i="14"/>
  <c r="T127" i="14" s="1"/>
  <c r="U128" i="14"/>
  <c r="T128" i="14" s="1"/>
  <c r="U129" i="14"/>
  <c r="T129" i="14" s="1"/>
  <c r="U130" i="14"/>
  <c r="T130" i="14" s="1"/>
  <c r="U131" i="14"/>
  <c r="T131" i="14" s="1"/>
  <c r="U132" i="14"/>
  <c r="T132" i="14" s="1"/>
  <c r="U133" i="14"/>
  <c r="T133" i="14" s="1"/>
  <c r="U134" i="14"/>
  <c r="T134" i="14" s="1"/>
  <c r="U135" i="14"/>
  <c r="T135" i="14" s="1"/>
  <c r="U136" i="14"/>
  <c r="T136" i="14" s="1"/>
  <c r="U137" i="14"/>
  <c r="T137" i="14" s="1"/>
  <c r="U138" i="14"/>
  <c r="T138" i="14" s="1"/>
  <c r="U139" i="14"/>
  <c r="T139" i="14" s="1"/>
  <c r="U140" i="14"/>
  <c r="T140" i="14" s="1"/>
  <c r="U141" i="14"/>
  <c r="T141" i="14" s="1"/>
  <c r="U142" i="14"/>
  <c r="T142" i="14" s="1"/>
  <c r="U143" i="14"/>
  <c r="T143" i="14" s="1"/>
  <c r="U144" i="14"/>
  <c r="T144" i="14" s="1"/>
  <c r="U145" i="14"/>
  <c r="T145" i="14" s="1"/>
  <c r="U146" i="14"/>
  <c r="T146" i="14" s="1"/>
  <c r="U147" i="14"/>
  <c r="T147" i="14" s="1"/>
  <c r="U148" i="14"/>
  <c r="T148" i="14" s="1"/>
  <c r="U149" i="14"/>
  <c r="T149" i="14" s="1"/>
  <c r="U150" i="14"/>
  <c r="T150" i="14" s="1"/>
  <c r="U151" i="14"/>
  <c r="T151" i="14" s="1"/>
  <c r="U152" i="14"/>
  <c r="T152" i="14" s="1"/>
  <c r="U153" i="14"/>
  <c r="T153" i="14" s="1"/>
  <c r="U154" i="14"/>
  <c r="T154" i="14" s="1"/>
  <c r="U155" i="14"/>
  <c r="T155" i="14" s="1"/>
  <c r="U156" i="14"/>
  <c r="T156" i="14" s="1"/>
  <c r="U159" i="14"/>
  <c r="T159" i="14" s="1"/>
  <c r="U160" i="14"/>
  <c r="T160" i="14" s="1"/>
  <c r="U161" i="14"/>
  <c r="T161" i="14" s="1"/>
  <c r="U162" i="14"/>
  <c r="T162" i="14" s="1"/>
  <c r="U85" i="14"/>
  <c r="T85" i="14" s="1"/>
  <c r="M26" i="2"/>
  <c r="H15" i="14"/>
  <c r="M21" i="2"/>
  <c r="H242" i="17"/>
  <c r="G242" i="17"/>
  <c r="H241" i="17"/>
  <c r="G241" i="17"/>
  <c r="H240" i="17"/>
  <c r="G240" i="17"/>
  <c r="H239" i="17"/>
  <c r="G239" i="17"/>
  <c r="H238" i="17"/>
  <c r="G238" i="17"/>
  <c r="H237" i="17"/>
  <c r="G237" i="17"/>
  <c r="H236" i="17"/>
  <c r="G236" i="17"/>
  <c r="H231" i="17"/>
  <c r="G222" i="17"/>
  <c r="H219" i="17"/>
  <c r="G219" i="17"/>
  <c r="H218" i="17"/>
  <c r="G218" i="17"/>
  <c r="H217" i="17"/>
  <c r="G217" i="17"/>
  <c r="H216" i="17"/>
  <c r="G208" i="17"/>
  <c r="G209" i="17"/>
  <c r="G210" i="17"/>
  <c r="G211" i="17"/>
  <c r="G212" i="17"/>
  <c r="G213" i="17"/>
  <c r="G214" i="17"/>
  <c r="G207" i="17"/>
  <c r="H214" i="17"/>
  <c r="H213" i="17"/>
  <c r="H212" i="17"/>
  <c r="H211" i="17"/>
  <c r="H210" i="17"/>
  <c r="H209" i="17"/>
  <c r="H172" i="17"/>
  <c r="G169" i="17"/>
  <c r="G164" i="17"/>
  <c r="G160" i="17"/>
  <c r="E34" i="2"/>
  <c r="M34" i="2" s="1"/>
  <c r="M33" i="2"/>
  <c r="M32" i="2"/>
  <c r="M31" i="2"/>
  <c r="M30" i="2"/>
  <c r="M29" i="2"/>
  <c r="M28" i="2"/>
  <c r="M27" i="2"/>
  <c r="M25" i="2"/>
  <c r="E24" i="2"/>
  <c r="M24" i="2" s="1"/>
  <c r="M23" i="2"/>
  <c r="M22" i="2"/>
  <c r="H156" i="17"/>
  <c r="G156" i="17"/>
  <c r="H157" i="17"/>
  <c r="G157" i="17"/>
  <c r="H154" i="17"/>
  <c r="G154" i="17"/>
  <c r="H152" i="17"/>
  <c r="G152" i="17"/>
  <c r="H151" i="17"/>
  <c r="G151" i="17"/>
  <c r="H150" i="17"/>
  <c r="G150" i="17"/>
  <c r="H148" i="17"/>
  <c r="G148" i="17"/>
  <c r="H147" i="17"/>
  <c r="G147" i="17"/>
  <c r="H146" i="17"/>
  <c r="G146" i="17"/>
  <c r="H145" i="17"/>
  <c r="G145" i="17"/>
  <c r="H144" i="17"/>
  <c r="G144" i="17"/>
  <c r="H143" i="17"/>
  <c r="G143" i="17"/>
  <c r="H142" i="17"/>
  <c r="G142" i="17"/>
  <c r="H141" i="17"/>
  <c r="G141" i="17"/>
  <c r="H140" i="17"/>
  <c r="G140" i="17"/>
  <c r="H138" i="17"/>
  <c r="G138" i="17"/>
  <c r="H137" i="17"/>
  <c r="G137" i="17"/>
  <c r="H135" i="17"/>
  <c r="G135" i="17"/>
  <c r="H134" i="17"/>
  <c r="G134" i="17"/>
  <c r="H114" i="17"/>
  <c r="G114" i="17"/>
  <c r="H113" i="17"/>
  <c r="G113" i="17"/>
  <c r="H112" i="17"/>
  <c r="G112" i="17"/>
  <c r="H111" i="17"/>
  <c r="G111" i="17"/>
  <c r="H110" i="17"/>
  <c r="G110" i="17"/>
  <c r="H109" i="17"/>
  <c r="G109" i="17"/>
  <c r="H108" i="17"/>
  <c r="G108" i="17"/>
  <c r="H106" i="17"/>
  <c r="G106" i="17"/>
  <c r="H105" i="17"/>
  <c r="G105" i="17"/>
  <c r="H104" i="17"/>
  <c r="G104" i="17"/>
  <c r="H103" i="17"/>
  <c r="G103" i="17"/>
  <c r="H102" i="17"/>
  <c r="G102" i="17"/>
  <c r="H101" i="17"/>
  <c r="G101" i="17"/>
  <c r="H100" i="17"/>
  <c r="G100" i="17"/>
  <c r="H97" i="17"/>
  <c r="H96" i="17" s="1"/>
  <c r="G97" i="17"/>
  <c r="H95" i="17"/>
  <c r="G95" i="17"/>
  <c r="H94" i="17"/>
  <c r="G94" i="17"/>
  <c r="H93" i="17"/>
  <c r="G93" i="17"/>
  <c r="H92" i="17"/>
  <c r="G92" i="17"/>
  <c r="H91" i="17"/>
  <c r="G91" i="17"/>
  <c r="H90" i="17"/>
  <c r="G90" i="17"/>
  <c r="H89" i="17"/>
  <c r="G89" i="17"/>
  <c r="H88" i="17"/>
  <c r="G88" i="17"/>
  <c r="H86" i="17"/>
  <c r="G86" i="17"/>
  <c r="H85" i="17"/>
  <c r="G85" i="17"/>
  <c r="H84" i="17"/>
  <c r="G84" i="17"/>
  <c r="H83" i="17"/>
  <c r="G83" i="17"/>
  <c r="H82" i="17"/>
  <c r="G82" i="17"/>
  <c r="H81" i="17"/>
  <c r="G81" i="17"/>
  <c r="H80" i="17"/>
  <c r="G80" i="17"/>
  <c r="H79" i="17"/>
  <c r="G79" i="17"/>
  <c r="H78" i="17"/>
  <c r="G78" i="17"/>
  <c r="H77" i="17"/>
  <c r="G77" i="17"/>
  <c r="H75" i="17"/>
  <c r="G75" i="17"/>
  <c r="H74" i="17"/>
  <c r="G74" i="17"/>
  <c r="H73" i="17"/>
  <c r="G73" i="17"/>
  <c r="H72" i="17"/>
  <c r="G72" i="17"/>
  <c r="H71" i="17"/>
  <c r="G71" i="17"/>
  <c r="H70" i="17"/>
  <c r="G70" i="17"/>
  <c r="H69" i="17"/>
  <c r="G69" i="17"/>
  <c r="H68" i="17"/>
  <c r="G68" i="17"/>
  <c r="H67" i="17"/>
  <c r="G67" i="17"/>
  <c r="H66" i="17"/>
  <c r="G66" i="17"/>
  <c r="H65" i="17"/>
  <c r="G65" i="17"/>
  <c r="H64" i="17"/>
  <c r="G64" i="17"/>
  <c r="H63" i="17"/>
  <c r="G63" i="17"/>
  <c r="H62" i="17"/>
  <c r="G62" i="17"/>
  <c r="H61" i="17"/>
  <c r="G61" i="17"/>
  <c r="H60" i="17"/>
  <c r="G60" i="17"/>
  <c r="H59" i="17"/>
  <c r="G59" i="17"/>
  <c r="H57" i="17"/>
  <c r="G57" i="17"/>
  <c r="H56" i="17"/>
  <c r="G56" i="17"/>
  <c r="H55" i="17"/>
  <c r="H54" i="17" s="1"/>
  <c r="G55" i="17"/>
  <c r="H53" i="17"/>
  <c r="H52" i="17" s="1"/>
  <c r="G53" i="17"/>
  <c r="H51" i="17"/>
  <c r="G51" i="17"/>
  <c r="H50" i="17"/>
  <c r="G50" i="17"/>
  <c r="H49" i="17"/>
  <c r="G49" i="17"/>
  <c r="H48" i="17"/>
  <c r="G48" i="17"/>
  <c r="H47" i="17"/>
  <c r="G47" i="17"/>
  <c r="H46" i="17"/>
  <c r="G46" i="17"/>
  <c r="H45" i="17"/>
  <c r="G45" i="17"/>
  <c r="H44" i="17"/>
  <c r="G44" i="17"/>
  <c r="H43" i="17"/>
  <c r="G43" i="17"/>
  <c r="H42" i="17"/>
  <c r="G42" i="17"/>
  <c r="H40" i="17"/>
  <c r="G40" i="17"/>
  <c r="H39" i="17"/>
  <c r="G39" i="17"/>
  <c r="H38" i="17"/>
  <c r="G38" i="17"/>
  <c r="H37" i="17"/>
  <c r="G37" i="17"/>
  <c r="H36" i="17"/>
  <c r="G36" i="17"/>
  <c r="H35" i="17"/>
  <c r="G35" i="17"/>
  <c r="H34" i="17"/>
  <c r="G34" i="17"/>
  <c r="H33" i="17"/>
  <c r="G33" i="17"/>
  <c r="H32" i="17"/>
  <c r="G32" i="17"/>
  <c r="H31" i="17"/>
  <c r="G31" i="17"/>
  <c r="H30" i="17"/>
  <c r="G30" i="17"/>
  <c r="H28" i="17"/>
  <c r="G28" i="17"/>
  <c r="H27" i="17"/>
  <c r="G27" i="17"/>
  <c r="H26" i="17"/>
  <c r="G26" i="17"/>
  <c r="H25" i="17"/>
  <c r="G25" i="17"/>
  <c r="H24" i="17"/>
  <c r="G24" i="17"/>
  <c r="H23" i="17"/>
  <c r="G23" i="17"/>
  <c r="H22" i="17"/>
  <c r="G22" i="17"/>
  <c r="H21" i="17"/>
  <c r="G21" i="17"/>
  <c r="H20" i="17"/>
  <c r="G20" i="17"/>
  <c r="H19" i="17"/>
  <c r="G19" i="17"/>
  <c r="E49" i="14" l="1"/>
  <c r="M49" i="14" s="1"/>
  <c r="E27" i="14"/>
  <c r="M27" i="14" s="1"/>
  <c r="E47" i="14"/>
  <c r="M47" i="14" s="1"/>
  <c r="E48" i="14"/>
  <c r="M48" i="14" s="1"/>
  <c r="E33" i="14"/>
  <c r="M33" i="14" s="1"/>
  <c r="E35" i="14"/>
  <c r="M35" i="14" s="1"/>
  <c r="E25" i="14"/>
  <c r="H235" i="17"/>
  <c r="E44" i="14"/>
  <c r="M44" i="14" s="1"/>
  <c r="E39" i="14"/>
  <c r="M39" i="14" s="1"/>
  <c r="M35" i="2"/>
  <c r="E38" i="14"/>
  <c r="M38" i="14" s="1"/>
  <c r="E41" i="14"/>
  <c r="M41" i="14" s="1"/>
  <c r="E42" i="14"/>
  <c r="M42" i="14" s="1"/>
  <c r="E43" i="14"/>
  <c r="M43" i="14" s="1"/>
  <c r="E46" i="14"/>
  <c r="M46" i="14" s="1"/>
  <c r="E45" i="14"/>
  <c r="M45" i="14" s="1"/>
  <c r="E50" i="14"/>
  <c r="M50" i="14" s="1"/>
  <c r="E40" i="14"/>
  <c r="M40" i="14" s="1"/>
  <c r="E51" i="14"/>
  <c r="M51" i="14" s="1"/>
  <c r="E32" i="14"/>
  <c r="M32" i="14" s="1"/>
  <c r="E31" i="14"/>
  <c r="M31" i="14" s="1"/>
  <c r="E36" i="14"/>
  <c r="M36" i="14" s="1"/>
  <c r="E28" i="14"/>
  <c r="M28" i="14" s="1"/>
  <c r="E34" i="14"/>
  <c r="M34" i="14" s="1"/>
  <c r="E30" i="14"/>
  <c r="M30" i="14" s="1"/>
  <c r="E29" i="14"/>
  <c r="M29" i="14" s="1"/>
  <c r="H223" i="17"/>
  <c r="G226" i="17"/>
  <c r="H227" i="17"/>
  <c r="G230" i="17"/>
  <c r="G234" i="17"/>
  <c r="H215" i="17"/>
  <c r="H222" i="17"/>
  <c r="H230" i="17"/>
  <c r="H233" i="17"/>
  <c r="G233" i="17"/>
  <c r="G231" i="17"/>
  <c r="I180" i="17"/>
  <c r="I182" i="17"/>
  <c r="I179" i="17"/>
  <c r="I181" i="17"/>
  <c r="H181" i="17"/>
  <c r="G181" i="17"/>
  <c r="H171" i="17"/>
  <c r="G171" i="17"/>
  <c r="G163" i="17"/>
  <c r="G172" i="17"/>
  <c r="H160" i="17"/>
  <c r="H169" i="17"/>
  <c r="G170" i="17"/>
  <c r="H161" i="17"/>
  <c r="H164" i="17"/>
  <c r="H167" i="17"/>
  <c r="H170" i="17"/>
  <c r="G166" i="17"/>
  <c r="H163" i="17"/>
  <c r="G161" i="17"/>
  <c r="G167" i="17"/>
  <c r="H166" i="17"/>
  <c r="G23" i="2"/>
  <c r="G26" i="2"/>
  <c r="G29" i="2"/>
  <c r="G32" i="2"/>
  <c r="H23" i="2"/>
  <c r="H26" i="2"/>
  <c r="H29" i="2"/>
  <c r="H32" i="2"/>
  <c r="G21" i="2"/>
  <c r="G24" i="2"/>
  <c r="G27" i="2"/>
  <c r="G30" i="2"/>
  <c r="G33" i="2"/>
  <c r="H21" i="2"/>
  <c r="H24" i="2"/>
  <c r="H27" i="2"/>
  <c r="H30" i="2"/>
  <c r="H33" i="2"/>
  <c r="G22" i="2"/>
  <c r="G25" i="2"/>
  <c r="G28" i="2"/>
  <c r="G31" i="2"/>
  <c r="G34" i="2"/>
  <c r="H22" i="2"/>
  <c r="H25" i="2"/>
  <c r="H28" i="2"/>
  <c r="H31" i="2"/>
  <c r="H34" i="2"/>
  <c r="H136" i="17"/>
  <c r="H18" i="17"/>
  <c r="H99" i="17"/>
  <c r="H133" i="17"/>
  <c r="H41" i="17"/>
  <c r="H107" i="17"/>
  <c r="H139" i="17"/>
  <c r="H29" i="17"/>
  <c r="H76" i="17"/>
  <c r="H87" i="17"/>
  <c r="H58" i="17"/>
  <c r="M25" i="14" l="1"/>
  <c r="M52" i="14" s="1"/>
  <c r="E59" i="14"/>
  <c r="G223" i="17"/>
  <c r="G227" i="17"/>
  <c r="H226" i="17"/>
  <c r="H234" i="17"/>
  <c r="G229" i="17"/>
  <c r="H229" i="17"/>
  <c r="H228" i="17"/>
  <c r="G228" i="17"/>
  <c r="G225" i="17"/>
  <c r="H225" i="17"/>
  <c r="G221" i="17"/>
  <c r="H221" i="17"/>
  <c r="H224" i="17"/>
  <c r="G224" i="17"/>
  <c r="H232" i="17"/>
  <c r="G232" i="17"/>
  <c r="H180" i="17"/>
  <c r="G180" i="17"/>
  <c r="H182" i="17"/>
  <c r="G182" i="17"/>
  <c r="G179" i="17"/>
  <c r="H179" i="17"/>
  <c r="H168" i="17"/>
  <c r="G168" i="17"/>
  <c r="H165" i="17"/>
  <c r="G165" i="17"/>
  <c r="H162" i="17"/>
  <c r="G162" i="17"/>
  <c r="H159" i="17"/>
  <c r="G159" i="17"/>
  <c r="H20" i="2"/>
  <c r="D69" i="14" l="1"/>
  <c r="H220" i="17"/>
  <c r="H178" i="17"/>
  <c r="H207" i="17"/>
  <c r="H208" i="17"/>
  <c r="I175" i="17"/>
  <c r="H175" i="17"/>
  <c r="G175" i="17"/>
  <c r="I174" i="17"/>
  <c r="G174" i="17"/>
  <c r="H174" i="17"/>
  <c r="G177" i="17"/>
  <c r="I177" i="17"/>
  <c r="H177" i="17"/>
  <c r="G176" i="17"/>
  <c r="I176" i="17"/>
  <c r="H176" i="17"/>
  <c r="H158" i="17"/>
  <c r="H206" i="17" l="1"/>
  <c r="H173" i="17"/>
  <c r="I187" i="17" l="1"/>
  <c r="H187" i="17"/>
  <c r="G187" i="17"/>
  <c r="I185" i="17"/>
  <c r="H185" i="17"/>
  <c r="G185" i="17"/>
  <c r="G186" i="17"/>
  <c r="I186" i="17"/>
  <c r="H186" i="17"/>
  <c r="I184" i="17"/>
  <c r="H184" i="17"/>
  <c r="G184" i="17"/>
  <c r="G243" i="17" l="1"/>
  <c r="G244" i="17" s="1"/>
  <c r="G245" i="17" s="1"/>
  <c r="H183" i="17"/>
  <c r="P160" i="14" l="1"/>
  <c r="O160" i="14"/>
  <c r="P159" i="14"/>
  <c r="O159" i="14"/>
  <c r="P158" i="14"/>
  <c r="O158" i="14"/>
  <c r="P157" i="14"/>
  <c r="O157" i="14"/>
  <c r="P156" i="14"/>
  <c r="O156" i="14"/>
  <c r="P155" i="14"/>
  <c r="O155" i="14"/>
  <c r="P154" i="14"/>
  <c r="O154" i="14"/>
  <c r="P153" i="14"/>
  <c r="O153" i="14"/>
  <c r="P152" i="14"/>
  <c r="O152" i="14"/>
  <c r="P151" i="14"/>
  <c r="O151" i="14"/>
  <c r="P150" i="14"/>
  <c r="O150" i="14"/>
  <c r="P149" i="14"/>
  <c r="O149" i="14"/>
  <c r="P148" i="14"/>
  <c r="O148" i="14"/>
  <c r="P147" i="14"/>
  <c r="O147" i="14"/>
  <c r="P146" i="14"/>
  <c r="O146" i="14"/>
  <c r="P145" i="14"/>
  <c r="O145" i="14"/>
  <c r="P144" i="14"/>
  <c r="O144" i="14"/>
  <c r="P143" i="14"/>
  <c r="O143" i="14"/>
  <c r="P142" i="14"/>
  <c r="O142" i="14"/>
  <c r="P141" i="14"/>
  <c r="O141" i="14"/>
  <c r="P140" i="14"/>
  <c r="O140" i="14"/>
  <c r="P139" i="14"/>
  <c r="O139" i="14"/>
  <c r="P138" i="14"/>
  <c r="O138" i="14"/>
  <c r="P137" i="14"/>
  <c r="O137" i="14"/>
  <c r="P136" i="14"/>
  <c r="O136" i="14"/>
  <c r="P135" i="14"/>
  <c r="O135" i="14"/>
  <c r="P134" i="14"/>
  <c r="O134" i="14"/>
  <c r="P133" i="14"/>
  <c r="O133" i="14"/>
  <c r="P132" i="14"/>
  <c r="O132" i="14"/>
  <c r="P131" i="14"/>
  <c r="O131" i="14"/>
  <c r="P130" i="14"/>
  <c r="O130" i="14"/>
  <c r="P129" i="14"/>
  <c r="O129" i="14"/>
  <c r="P128" i="14"/>
  <c r="O128" i="14"/>
  <c r="P127" i="14"/>
  <c r="O127" i="14"/>
  <c r="P126" i="14"/>
  <c r="O126" i="14"/>
  <c r="P125" i="14"/>
  <c r="O125" i="14"/>
  <c r="P124" i="14"/>
  <c r="O124" i="14"/>
  <c r="P123" i="14"/>
  <c r="O123" i="14"/>
  <c r="P122" i="14"/>
  <c r="O122" i="14"/>
  <c r="P121" i="14"/>
  <c r="O121" i="14"/>
  <c r="P120" i="14"/>
  <c r="O120" i="14"/>
  <c r="P119" i="14"/>
  <c r="O119" i="14"/>
  <c r="P118" i="14"/>
  <c r="O118" i="14"/>
  <c r="P117" i="14"/>
  <c r="O117" i="14"/>
  <c r="P116" i="14"/>
  <c r="O116" i="14"/>
  <c r="P115" i="14"/>
  <c r="O115" i="14"/>
  <c r="P114" i="14"/>
  <c r="O114" i="14"/>
  <c r="P113" i="14"/>
  <c r="O113" i="14"/>
  <c r="P112" i="14"/>
  <c r="O112" i="14"/>
  <c r="P111" i="14"/>
  <c r="O111" i="14"/>
  <c r="P110" i="14"/>
  <c r="O110" i="14"/>
  <c r="P109" i="14"/>
  <c r="O109" i="14"/>
  <c r="P108" i="14"/>
  <c r="O108" i="14"/>
  <c r="P107" i="14"/>
  <c r="O107" i="14"/>
  <c r="P106" i="14"/>
  <c r="O106" i="14"/>
  <c r="P105" i="14"/>
  <c r="O105" i="14"/>
  <c r="P104" i="14"/>
  <c r="O104" i="14"/>
  <c r="P103" i="14"/>
  <c r="O103" i="14"/>
  <c r="P102" i="14"/>
  <c r="O102" i="14"/>
  <c r="P101" i="14"/>
  <c r="O101" i="14"/>
  <c r="P100" i="14"/>
  <c r="O100" i="14"/>
  <c r="P99" i="14"/>
  <c r="O99" i="14"/>
  <c r="P98" i="14"/>
  <c r="O98" i="14"/>
  <c r="P97" i="14"/>
  <c r="O97" i="14"/>
  <c r="P96" i="14"/>
  <c r="O96" i="14"/>
  <c r="P95" i="14"/>
  <c r="O95" i="14"/>
  <c r="P94" i="14"/>
  <c r="O94" i="14"/>
  <c r="P93" i="14"/>
  <c r="O93" i="14"/>
  <c r="P92" i="14"/>
  <c r="O92" i="14"/>
  <c r="P91" i="14"/>
  <c r="O91" i="14"/>
  <c r="P90" i="14"/>
  <c r="O90" i="14"/>
  <c r="P87" i="14"/>
  <c r="O87" i="14"/>
  <c r="P86" i="14"/>
  <c r="O86" i="14"/>
  <c r="P85" i="14"/>
  <c r="O85" i="14"/>
  <c r="P84" i="14"/>
  <c r="O84" i="14"/>
  <c r="P83" i="14"/>
  <c r="O83" i="14"/>
  <c r="H61" i="14"/>
  <c r="G61" i="14"/>
  <c r="H60" i="14"/>
  <c r="G60" i="14"/>
  <c r="H59" i="14"/>
  <c r="H51" i="14"/>
  <c r="G51" i="14"/>
  <c r="H50" i="14"/>
  <c r="G50" i="14"/>
  <c r="H49" i="14"/>
  <c r="G49" i="14"/>
  <c r="H48" i="14"/>
  <c r="G48" i="14"/>
  <c r="H47" i="14"/>
  <c r="G47" i="14"/>
  <c r="H46" i="14"/>
  <c r="G46" i="14"/>
  <c r="H45" i="14"/>
  <c r="G45" i="14"/>
  <c r="H44" i="14"/>
  <c r="G44" i="14"/>
  <c r="H43" i="14"/>
  <c r="G43" i="14"/>
  <c r="H42" i="14"/>
  <c r="G42" i="14"/>
  <c r="H41" i="14"/>
  <c r="G41" i="14"/>
  <c r="H40" i="14"/>
  <c r="G40" i="14"/>
  <c r="H39" i="14"/>
  <c r="G39" i="14"/>
  <c r="H38" i="14"/>
  <c r="G38" i="14"/>
  <c r="H36" i="14"/>
  <c r="G36" i="14"/>
  <c r="H35" i="14"/>
  <c r="G35" i="14"/>
  <c r="H34" i="14"/>
  <c r="G34" i="14"/>
  <c r="H33" i="14"/>
  <c r="G33" i="14"/>
  <c r="H32" i="14"/>
  <c r="G32" i="14"/>
  <c r="H31" i="14"/>
  <c r="G31" i="14"/>
  <c r="H30" i="14"/>
  <c r="G30" i="14"/>
  <c r="H29" i="14"/>
  <c r="G29" i="14"/>
  <c r="H28" i="14"/>
  <c r="G28" i="14"/>
  <c r="H27" i="14"/>
  <c r="G27" i="14"/>
  <c r="H25" i="14"/>
  <c r="H24" i="14" s="1"/>
  <c r="G25" i="14"/>
  <c r="H26" i="14" l="1"/>
  <c r="H37" i="14"/>
  <c r="AV60" i="11"/>
  <c r="AV48" i="11"/>
  <c r="AN70" i="11"/>
  <c r="AM70" i="11"/>
  <c r="AL70" i="11"/>
  <c r="AK70" i="11"/>
  <c r="AJ70" i="11"/>
  <c r="AI70" i="11"/>
  <c r="AH70" i="11"/>
  <c r="AG70" i="11"/>
  <c r="AF70" i="11"/>
  <c r="AE70" i="11"/>
  <c r="AD70" i="11"/>
  <c r="AC70" i="11"/>
  <c r="AB70" i="11"/>
  <c r="AA70" i="11"/>
  <c r="Z70" i="11"/>
  <c r="Y70" i="11"/>
  <c r="Y69" i="11"/>
  <c r="AN69" i="11"/>
  <c r="AM69" i="11"/>
  <c r="AL69" i="11"/>
  <c r="AK69" i="11"/>
  <c r="AJ69" i="11"/>
  <c r="AI69" i="11"/>
  <c r="AH69" i="11"/>
  <c r="AG69" i="11"/>
  <c r="AF69" i="11"/>
  <c r="AE69" i="11"/>
  <c r="AD69" i="11"/>
  <c r="AC69" i="11"/>
  <c r="AB69" i="11"/>
  <c r="AA69" i="11"/>
  <c r="Z69" i="11"/>
  <c r="AG68" i="11"/>
  <c r="AF68" i="11"/>
  <c r="AE68" i="11"/>
  <c r="AD68" i="11"/>
  <c r="AC68" i="11"/>
  <c r="AB68" i="11"/>
  <c r="AA68" i="11"/>
  <c r="Z68" i="11"/>
  <c r="Y68" i="11"/>
  <c r="AN68" i="11"/>
  <c r="AM68" i="11"/>
  <c r="AL68" i="11"/>
  <c r="AK68" i="11"/>
  <c r="AJ68" i="11"/>
  <c r="AI68" i="11"/>
  <c r="AH68" i="11"/>
  <c r="AN67" i="11"/>
  <c r="AM67" i="11"/>
  <c r="AL67" i="11"/>
  <c r="AK67" i="11"/>
  <c r="AJ67" i="11"/>
  <c r="AI67" i="11"/>
  <c r="AH67" i="11"/>
  <c r="AG67" i="11"/>
  <c r="AF67" i="11"/>
  <c r="AE67" i="11"/>
  <c r="AD67" i="11"/>
  <c r="AC67" i="11"/>
  <c r="AB67" i="11"/>
  <c r="AA67" i="11"/>
  <c r="Z67" i="11"/>
  <c r="Y67" i="11"/>
  <c r="AN66" i="11"/>
  <c r="AM66" i="11"/>
  <c r="AL66" i="11"/>
  <c r="AK66" i="11"/>
  <c r="AJ66" i="11"/>
  <c r="AI66" i="11"/>
  <c r="AH66" i="11"/>
  <c r="AG66" i="11"/>
  <c r="AF66" i="11"/>
  <c r="AE66" i="11"/>
  <c r="AD66" i="11"/>
  <c r="AC66" i="11"/>
  <c r="AB66" i="11"/>
  <c r="AA66" i="11"/>
  <c r="Z66" i="11"/>
  <c r="Y66" i="11"/>
  <c r="AN65" i="11"/>
  <c r="AM65" i="11"/>
  <c r="AL65" i="11"/>
  <c r="AK65" i="11"/>
  <c r="AJ65" i="11"/>
  <c r="AI65" i="11"/>
  <c r="AH65" i="11"/>
  <c r="AG65" i="11"/>
  <c r="AF65" i="11"/>
  <c r="AE65" i="11"/>
  <c r="AD65" i="11"/>
  <c r="AC65" i="11"/>
  <c r="AB65" i="11"/>
  <c r="AA65" i="11"/>
  <c r="Z65" i="11"/>
  <c r="Y65" i="11"/>
  <c r="AN64" i="11"/>
  <c r="AM64" i="11"/>
  <c r="AL64" i="11"/>
  <c r="AK64" i="11"/>
  <c r="AJ64" i="11"/>
  <c r="AI64" i="11"/>
  <c r="AH64" i="11"/>
  <c r="AG64" i="11"/>
  <c r="AF64" i="11"/>
  <c r="AE64" i="11"/>
  <c r="AD64" i="11"/>
  <c r="AC64" i="11"/>
  <c r="AB64" i="11"/>
  <c r="AA64" i="11"/>
  <c r="Z64" i="11"/>
  <c r="Y64" i="11"/>
  <c r="AN63" i="11"/>
  <c r="AM63" i="11"/>
  <c r="AL63" i="11"/>
  <c r="AK63" i="11"/>
  <c r="AJ63" i="11"/>
  <c r="AI63" i="11"/>
  <c r="AH63" i="11"/>
  <c r="AG63" i="11"/>
  <c r="AF63" i="11"/>
  <c r="AE63" i="11"/>
  <c r="AD63" i="11"/>
  <c r="AC63" i="11"/>
  <c r="AB63" i="11"/>
  <c r="AA63" i="11"/>
  <c r="Z63" i="11"/>
  <c r="Y63" i="11"/>
  <c r="AN62" i="11"/>
  <c r="AM62" i="11"/>
  <c r="AL62" i="11"/>
  <c r="AK62" i="11"/>
  <c r="AJ62" i="11"/>
  <c r="AI62" i="11"/>
  <c r="AH62" i="11"/>
  <c r="AG62" i="11"/>
  <c r="AF62" i="11"/>
  <c r="AE62" i="11"/>
  <c r="AD62" i="11"/>
  <c r="AC62" i="11"/>
  <c r="AB62" i="11"/>
  <c r="AA62" i="11"/>
  <c r="Z62" i="11"/>
  <c r="Y62" i="11"/>
  <c r="Y47" i="11"/>
  <c r="Z47" i="11"/>
  <c r="AA47" i="11"/>
  <c r="Z53" i="11"/>
  <c r="Z52" i="11"/>
  <c r="Z51" i="11"/>
  <c r="Z50" i="11"/>
  <c r="Z49" i="11"/>
  <c r="Z48" i="11"/>
  <c r="Z46" i="11"/>
  <c r="Z45" i="11"/>
  <c r="H36" i="11"/>
  <c r="H35" i="11"/>
  <c r="H34" i="11"/>
  <c r="H33" i="11"/>
  <c r="H32" i="11"/>
  <c r="H31" i="11"/>
  <c r="H22" i="11"/>
  <c r="E12" i="8"/>
  <c r="E11" i="8"/>
  <c r="H75" i="8"/>
  <c r="H36" i="8"/>
  <c r="H35" i="8"/>
  <c r="H34" i="8"/>
  <c r="H33" i="8"/>
  <c r="H32" i="8"/>
  <c r="H31" i="8"/>
  <c r="E54" i="14" l="1"/>
  <c r="H54" i="14" s="1"/>
  <c r="E53" i="14"/>
  <c r="H53" i="14" s="1"/>
  <c r="E58" i="14"/>
  <c r="H58" i="14" s="1"/>
  <c r="E55" i="14"/>
  <c r="H55" i="14" s="1"/>
  <c r="G63" i="14"/>
  <c r="I22" i="11"/>
  <c r="L61" i="11" s="1"/>
  <c r="G22" i="8"/>
  <c r="F22" i="8"/>
  <c r="E22" i="8"/>
  <c r="D22" i="8"/>
  <c r="E18" i="8"/>
  <c r="E17" i="8"/>
  <c r="E16" i="8"/>
  <c r="E15" i="8"/>
  <c r="E14" i="8"/>
  <c r="K54" i="12"/>
  <c r="K53" i="12"/>
  <c r="K52" i="12"/>
  <c r="J20" i="12"/>
  <c r="K20" i="12" s="1"/>
  <c r="AI60" i="8"/>
  <c r="AI48" i="8"/>
  <c r="AH36" i="8"/>
  <c r="AI36" i="8" s="1"/>
  <c r="AH35" i="8"/>
  <c r="AI35" i="8" s="1"/>
  <c r="AH34" i="8"/>
  <c r="AI34" i="8" s="1"/>
  <c r="AH33" i="8"/>
  <c r="AI33" i="8" s="1"/>
  <c r="AH32" i="8"/>
  <c r="AI32" i="8" s="1"/>
  <c r="AH31" i="8"/>
  <c r="AI31" i="8" s="1"/>
  <c r="AU36" i="11"/>
  <c r="AV36" i="11" s="1"/>
  <c r="AU35" i="11"/>
  <c r="AV35" i="11" s="1"/>
  <c r="AU34" i="11"/>
  <c r="AV34" i="11" s="1"/>
  <c r="AU33" i="11"/>
  <c r="AV33" i="11" s="1"/>
  <c r="AU32" i="11"/>
  <c r="AV32" i="11" s="1"/>
  <c r="AU31" i="11"/>
  <c r="AV31" i="11" s="1"/>
  <c r="H52" i="14" l="1"/>
  <c r="E72" i="8"/>
  <c r="I51" i="12" s="1"/>
  <c r="K51" i="12" s="1"/>
  <c r="K61" i="11"/>
  <c r="K62" i="11" s="1"/>
  <c r="K63" i="11" s="1"/>
  <c r="K38" i="11"/>
  <c r="L38" i="11"/>
  <c r="L39" i="11" s="1"/>
  <c r="L62" i="11"/>
  <c r="J61" i="11"/>
  <c r="J62" i="11" s="1"/>
  <c r="J38" i="11"/>
  <c r="J39" i="11" s="1"/>
  <c r="K49" i="11"/>
  <c r="L49" i="11"/>
  <c r="J49" i="11"/>
  <c r="J50" i="11" s="1"/>
  <c r="I36" i="11"/>
  <c r="I35" i="11"/>
  <c r="I34" i="11"/>
  <c r="I33" i="11"/>
  <c r="I32" i="11"/>
  <c r="I31" i="11"/>
  <c r="H75" i="11"/>
  <c r="H74" i="11"/>
  <c r="H73" i="11"/>
  <c r="G36" i="11"/>
  <c r="G35" i="11"/>
  <c r="G34" i="11"/>
  <c r="G33" i="11"/>
  <c r="G32" i="11"/>
  <c r="G31" i="11"/>
  <c r="J40" i="11" l="1"/>
  <c r="J41" i="11" s="1"/>
  <c r="L40" i="11"/>
  <c r="L41" i="11" s="1"/>
  <c r="K50" i="11"/>
  <c r="K51" i="11" s="1"/>
  <c r="K52" i="11" s="1"/>
  <c r="L63" i="11"/>
  <c r="L64" i="11" s="1"/>
  <c r="L65" i="11" s="1"/>
  <c r="K39" i="11"/>
  <c r="K40" i="11" s="1"/>
  <c r="K41" i="11" s="1"/>
  <c r="J51" i="11"/>
  <c r="J52" i="11" s="1"/>
  <c r="L50" i="11"/>
  <c r="L51" i="11" s="1"/>
  <c r="K64" i="11"/>
  <c r="K65" i="11" s="1"/>
  <c r="J63" i="11"/>
  <c r="AN87" i="11"/>
  <c r="AM51" i="11"/>
  <c r="AE79" i="11"/>
  <c r="AL46" i="11"/>
  <c r="AN46" i="11"/>
  <c r="AF79" i="11"/>
  <c r="AG47" i="11"/>
  <c r="AG79" i="11"/>
  <c r="AH47" i="11"/>
  <c r="AH79" i="11"/>
  <c r="AI47" i="11"/>
  <c r="AK79" i="11"/>
  <c r="AJ47" i="11"/>
  <c r="AH80" i="11"/>
  <c r="AK47" i="11"/>
  <c r="AI80" i="11"/>
  <c r="AL47" i="11"/>
  <c r="AB83" i="11"/>
  <c r="AK50" i="11"/>
  <c r="AC83" i="11"/>
  <c r="AL50" i="11"/>
  <c r="AF83" i="11"/>
  <c r="AM50" i="11"/>
  <c r="AC84" i="11"/>
  <c r="AN50" i="11"/>
  <c r="AD84" i="11"/>
  <c r="AJ51" i="11"/>
  <c r="AE84" i="11"/>
  <c r="AK51" i="11"/>
  <c r="AF84" i="11"/>
  <c r="AL51" i="11"/>
  <c r="AB87" i="11"/>
  <c r="AK48" i="11"/>
  <c r="Y81" i="11"/>
  <c r="AL48" i="11"/>
  <c r="AJ85" i="11"/>
  <c r="AN48" i="11"/>
  <c r="AJ53" i="11"/>
  <c r="Y82" i="11"/>
  <c r="AN85" i="11"/>
  <c r="AN51" i="11"/>
  <c r="AH45" i="11"/>
  <c r="AL80" i="11"/>
  <c r="AH85" i="11"/>
  <c r="AL52" i="11"/>
  <c r="AM48" i="11"/>
  <c r="AM81" i="11"/>
  <c r="AN52" i="11"/>
  <c r="AK85" i="11"/>
  <c r="AJ49" i="11"/>
  <c r="AG46" i="11"/>
  <c r="AK49" i="11"/>
  <c r="AK53" i="11"/>
  <c r="Z82" i="11"/>
  <c r="AK86" i="11"/>
  <c r="AJ80" i="11"/>
  <c r="AG45" i="11"/>
  <c r="AK80" i="11"/>
  <c r="AJ52" i="11"/>
  <c r="AG85" i="11"/>
  <c r="AK52" i="11"/>
  <c r="AJ45" i="11"/>
  <c r="AL81" i="11"/>
  <c r="AK45" i="11"/>
  <c r="AM52" i="11"/>
  <c r="AL45" i="11"/>
  <c r="AN81" i="11"/>
  <c r="AN45" i="11"/>
  <c r="AH46" i="11"/>
  <c r="AL49" i="11"/>
  <c r="AL53" i="11"/>
  <c r="AC82" i="11"/>
  <c r="AL86" i="11"/>
  <c r="AG84" i="11"/>
  <c r="AN47" i="11"/>
  <c r="AJ84" i="11"/>
  <c r="AJ48" i="11"/>
  <c r="AI45" i="11"/>
  <c r="AI85" i="11"/>
  <c r="AI46" i="11"/>
  <c r="AM49" i="11"/>
  <c r="AM53" i="11"/>
  <c r="Y83" i="11"/>
  <c r="AM86" i="11"/>
  <c r="AJ46" i="11"/>
  <c r="AN49" i="11"/>
  <c r="AN53" i="11"/>
  <c r="Z83" i="11"/>
  <c r="AN86" i="11"/>
  <c r="AK46" i="11"/>
  <c r="AJ50" i="11"/>
  <c r="AD79" i="11"/>
  <c r="AA83" i="11"/>
  <c r="Y87" i="11"/>
  <c r="AI79" i="11"/>
  <c r="AM80" i="11"/>
  <c r="AA82" i="11"/>
  <c r="AD83" i="11"/>
  <c r="AH84" i="11"/>
  <c r="AL85" i="11"/>
  <c r="Z87" i="11"/>
  <c r="AM45" i="11"/>
  <c r="AM46" i="11"/>
  <c r="AM47" i="11"/>
  <c r="AJ79" i="11"/>
  <c r="AN80" i="11"/>
  <c r="AB82" i="11"/>
  <c r="AE83" i="11"/>
  <c r="AI84" i="11"/>
  <c r="AM85" i="11"/>
  <c r="AA87" i="11"/>
  <c r="Y86" i="11"/>
  <c r="Y48" i="11"/>
  <c r="Y49" i="11"/>
  <c r="Y50" i="11"/>
  <c r="Y51" i="11"/>
  <c r="Y52" i="11"/>
  <c r="Y53" i="11"/>
  <c r="AM79" i="11"/>
  <c r="AA81" i="11"/>
  <c r="AE82" i="11"/>
  <c r="AH83" i="11"/>
  <c r="AL84" i="11"/>
  <c r="Z86" i="11"/>
  <c r="AD87" i="11"/>
  <c r="AC87" i="11"/>
  <c r="AN79" i="11"/>
  <c r="AB81" i="11"/>
  <c r="AF82" i="11"/>
  <c r="AI83" i="11"/>
  <c r="AM84" i="11"/>
  <c r="AA86" i="11"/>
  <c r="AE87" i="11"/>
  <c r="Y80" i="11"/>
  <c r="AC81" i="11"/>
  <c r="AG82" i="11"/>
  <c r="AJ83" i="11"/>
  <c r="AN84" i="11"/>
  <c r="AB86" i="11"/>
  <c r="AF87" i="11"/>
  <c r="G73" i="11"/>
  <c r="AD82" i="11"/>
  <c r="AA49" i="11"/>
  <c r="AA53" i="11"/>
  <c r="Y45" i="11"/>
  <c r="Y46" i="11"/>
  <c r="AB48" i="11"/>
  <c r="AB49" i="11"/>
  <c r="AB50" i="11"/>
  <c r="AB51" i="11"/>
  <c r="AB52" i="11"/>
  <c r="AB53" i="11"/>
  <c r="Z80" i="11"/>
  <c r="AD81" i="11"/>
  <c r="AH82" i="11"/>
  <c r="AK83" i="11"/>
  <c r="Y85" i="11"/>
  <c r="AC86" i="11"/>
  <c r="AG87" i="11"/>
  <c r="AL79" i="11"/>
  <c r="AA50" i="11"/>
  <c r="AC48" i="11"/>
  <c r="AC49" i="11"/>
  <c r="AC50" i="11"/>
  <c r="AC51" i="11"/>
  <c r="AC52" i="11"/>
  <c r="AC53" i="11"/>
  <c r="E30" i="11"/>
  <c r="AA80" i="11"/>
  <c r="AE81" i="11"/>
  <c r="AI82" i="11"/>
  <c r="AL83" i="11"/>
  <c r="Z85" i="11"/>
  <c r="AD86" i="11"/>
  <c r="AH87" i="11"/>
  <c r="AA51" i="11"/>
  <c r="AA45" i="11"/>
  <c r="AA46" i="11"/>
  <c r="AD48" i="11"/>
  <c r="AD49" i="11"/>
  <c r="AD50" i="11"/>
  <c r="AD51" i="11"/>
  <c r="AD52" i="11"/>
  <c r="AD53" i="11"/>
  <c r="AB80" i="11"/>
  <c r="AF81" i="11"/>
  <c r="AJ82" i="11"/>
  <c r="AM83" i="11"/>
  <c r="AA85" i="11"/>
  <c r="AE86" i="11"/>
  <c r="AI87" i="11"/>
  <c r="AB45" i="11"/>
  <c r="AB46" i="11"/>
  <c r="AB47" i="11"/>
  <c r="AE48" i="11"/>
  <c r="AE49" i="11"/>
  <c r="AE50" i="11"/>
  <c r="AE51" i="11"/>
  <c r="AE52" i="11"/>
  <c r="AE53" i="11"/>
  <c r="Y79" i="11"/>
  <c r="AC80" i="11"/>
  <c r="AG81" i="11"/>
  <c r="AK82" i="11"/>
  <c r="AN83" i="11"/>
  <c r="AB85" i="11"/>
  <c r="AF86" i="11"/>
  <c r="AJ87" i="11"/>
  <c r="Z81" i="11"/>
  <c r="AA48" i="11"/>
  <c r="AA52" i="11"/>
  <c r="AC45" i="11"/>
  <c r="AC46" i="11"/>
  <c r="AC47" i="11"/>
  <c r="AF48" i="11"/>
  <c r="AF49" i="11"/>
  <c r="AF50" i="11"/>
  <c r="AF51" i="11"/>
  <c r="AF52" i="11"/>
  <c r="AF53" i="11"/>
  <c r="Z79" i="11"/>
  <c r="AD80" i="11"/>
  <c r="AH81" i="11"/>
  <c r="AL82" i="11"/>
  <c r="Y84" i="11"/>
  <c r="AC85" i="11"/>
  <c r="AG86" i="11"/>
  <c r="AK87" i="11"/>
  <c r="AA79" i="11"/>
  <c r="AE80" i="11"/>
  <c r="AI81" i="11"/>
  <c r="AM82" i="11"/>
  <c r="Z84" i="11"/>
  <c r="AD85" i="11"/>
  <c r="AH86" i="11"/>
  <c r="AL87" i="11"/>
  <c r="AK84" i="11"/>
  <c r="AD46" i="11"/>
  <c r="AG48" i="11"/>
  <c r="AG50" i="11"/>
  <c r="AG53" i="11"/>
  <c r="AE45" i="11"/>
  <c r="AE46" i="11"/>
  <c r="AE47" i="11"/>
  <c r="AH48" i="11"/>
  <c r="AH49" i="11"/>
  <c r="AH50" i="11"/>
  <c r="AH51" i="11"/>
  <c r="AH52" i="11"/>
  <c r="AH53" i="11"/>
  <c r="AB79" i="11"/>
  <c r="AF80" i="11"/>
  <c r="AJ81" i="11"/>
  <c r="AN82" i="11"/>
  <c r="AA84" i="11"/>
  <c r="AE85" i="11"/>
  <c r="AI86" i="11"/>
  <c r="AM87" i="11"/>
  <c r="AG83" i="11"/>
  <c r="AD45" i="11"/>
  <c r="AD47" i="11"/>
  <c r="AG49" i="11"/>
  <c r="AG51" i="11"/>
  <c r="AG52" i="11"/>
  <c r="AF45" i="11"/>
  <c r="AF46" i="11"/>
  <c r="AF47" i="11"/>
  <c r="AI48" i="11"/>
  <c r="AI49" i="11"/>
  <c r="AI50" i="11"/>
  <c r="AI51" i="11"/>
  <c r="AI52" i="11"/>
  <c r="AI53" i="11"/>
  <c r="AC79" i="11"/>
  <c r="AG80" i="11"/>
  <c r="AK81" i="11"/>
  <c r="AB84" i="11"/>
  <c r="AF85" i="11"/>
  <c r="AJ86" i="11"/>
  <c r="H30" i="11" l="1"/>
  <c r="E72" i="11"/>
  <c r="H72" i="11" s="1"/>
  <c r="H29" i="11"/>
  <c r="J42" i="11"/>
  <c r="J43" i="11" s="1"/>
  <c r="L42" i="11"/>
  <c r="L43" i="11" s="1"/>
  <c r="L52" i="11"/>
  <c r="L53" i="11" s="1"/>
  <c r="K42" i="11"/>
  <c r="K43" i="11" s="1"/>
  <c r="L66" i="11"/>
  <c r="L67" i="11" s="1"/>
  <c r="J53" i="11"/>
  <c r="J54" i="11" s="1"/>
  <c r="J55" i="11" s="1"/>
  <c r="I29" i="11"/>
  <c r="K53" i="11"/>
  <c r="K66" i="11"/>
  <c r="K67" i="11" s="1"/>
  <c r="J64" i="11"/>
  <c r="I38" i="11"/>
  <c r="G29" i="11"/>
  <c r="AU29" i="11"/>
  <c r="AV29" i="11" s="1"/>
  <c r="I30" i="11"/>
  <c r="AU30" i="11"/>
  <c r="AV30" i="11" s="1"/>
  <c r="E73" i="8"/>
  <c r="H73" i="8" s="1"/>
  <c r="G74" i="11"/>
  <c r="G30" i="11"/>
  <c r="G75" i="11"/>
  <c r="E74" i="8"/>
  <c r="H74" i="8" s="1"/>
  <c r="U86" i="8"/>
  <c r="I34" i="8"/>
  <c r="I33" i="8"/>
  <c r="H28" i="11" l="1"/>
  <c r="J44" i="11"/>
  <c r="J45" i="11" s="1"/>
  <c r="K44" i="11"/>
  <c r="K45" i="11" s="1"/>
  <c r="K46" i="11" s="1"/>
  <c r="L68" i="11"/>
  <c r="L69" i="11" s="1"/>
  <c r="L70" i="11" s="1"/>
  <c r="K68" i="11"/>
  <c r="K69" i="11" s="1"/>
  <c r="K70" i="11" s="1"/>
  <c r="L54" i="11"/>
  <c r="L55" i="11" s="1"/>
  <c r="L44" i="11"/>
  <c r="L45" i="11" s="1"/>
  <c r="L46" i="11" s="1"/>
  <c r="L47" i="11" s="1"/>
  <c r="J65" i="11"/>
  <c r="J66" i="11" s="1"/>
  <c r="K54" i="11"/>
  <c r="J56" i="11"/>
  <c r="I49" i="11"/>
  <c r="I61" i="11"/>
  <c r="G72" i="11"/>
  <c r="Y81" i="8"/>
  <c r="S86" i="8"/>
  <c r="Z81" i="8"/>
  <c r="V86" i="8"/>
  <c r="AA81" i="8"/>
  <c r="W86" i="8"/>
  <c r="M82" i="8"/>
  <c r="Z86" i="8"/>
  <c r="N82" i="8"/>
  <c r="AA86" i="8"/>
  <c r="O82" i="8"/>
  <c r="M87" i="8"/>
  <c r="R79" i="8"/>
  <c r="W82" i="8"/>
  <c r="N87" i="8"/>
  <c r="S79" i="8"/>
  <c r="Y82" i="8"/>
  <c r="O87" i="8"/>
  <c r="U79" i="8"/>
  <c r="W83" i="8"/>
  <c r="V79" i="8"/>
  <c r="Y83" i="8"/>
  <c r="W79" i="8"/>
  <c r="Z83" i="8"/>
  <c r="Y79" i="8"/>
  <c r="R84" i="8"/>
  <c r="AA79" i="8"/>
  <c r="S84" i="8"/>
  <c r="M80" i="8"/>
  <c r="V84" i="8"/>
  <c r="N80" i="8"/>
  <c r="W84" i="8"/>
  <c r="O80" i="8"/>
  <c r="Y84" i="8"/>
  <c r="R81" i="8"/>
  <c r="AA84" i="8"/>
  <c r="S81" i="8"/>
  <c r="M85" i="8"/>
  <c r="V81" i="8"/>
  <c r="Q86" i="8"/>
  <c r="W81" i="8"/>
  <c r="R86" i="8"/>
  <c r="I22" i="8"/>
  <c r="J22" i="8" s="1"/>
  <c r="E38" i="8" s="1"/>
  <c r="H38" i="8" s="1"/>
  <c r="Q80" i="8"/>
  <c r="Z82" i="8"/>
  <c r="N85" i="8"/>
  <c r="Y87" i="8"/>
  <c r="R80" i="8"/>
  <c r="AA82" i="8"/>
  <c r="O85" i="8"/>
  <c r="L79" i="8"/>
  <c r="S80" i="8"/>
  <c r="M83" i="8"/>
  <c r="Q85" i="8"/>
  <c r="U80" i="8"/>
  <c r="N83" i="8"/>
  <c r="R85" i="8"/>
  <c r="M81" i="8"/>
  <c r="Q83" i="8"/>
  <c r="S85" i="8"/>
  <c r="N81" i="8"/>
  <c r="R83" i="8"/>
  <c r="U85" i="8"/>
  <c r="O81" i="8"/>
  <c r="S83" i="8"/>
  <c r="M86" i="8"/>
  <c r="Q81" i="8"/>
  <c r="U83" i="8"/>
  <c r="N86" i="8"/>
  <c r="V83" i="8"/>
  <c r="O86" i="8"/>
  <c r="U84" i="8"/>
  <c r="Y86" i="8"/>
  <c r="L62" i="8"/>
  <c r="V80" i="8"/>
  <c r="Q82" i="8"/>
  <c r="AA83" i="8"/>
  <c r="V85" i="8"/>
  <c r="Q87" i="8"/>
  <c r="M79" i="8"/>
  <c r="W80" i="8"/>
  <c r="R82" i="8"/>
  <c r="M84" i="8"/>
  <c r="W85" i="8"/>
  <c r="R87" i="8"/>
  <c r="N79" i="8"/>
  <c r="Y80" i="8"/>
  <c r="S82" i="8"/>
  <c r="N84" i="8"/>
  <c r="Y85" i="8"/>
  <c r="S87" i="8"/>
  <c r="O79" i="8"/>
  <c r="Z80" i="8"/>
  <c r="U82" i="8"/>
  <c r="O84" i="8"/>
  <c r="Z85" i="8"/>
  <c r="X87" i="8"/>
  <c r="Q79" i="8"/>
  <c r="AA80" i="8"/>
  <c r="V82" i="8"/>
  <c r="Q84" i="8"/>
  <c r="AA85" i="8"/>
  <c r="Z87" i="8"/>
  <c r="Z79" i="8"/>
  <c r="U81" i="8"/>
  <c r="O83" i="8"/>
  <c r="Z84" i="8"/>
  <c r="P79" i="8"/>
  <c r="T79" i="8"/>
  <c r="X79" i="8"/>
  <c r="L80" i="8"/>
  <c r="P80" i="8"/>
  <c r="T80" i="8"/>
  <c r="X80" i="8"/>
  <c r="L81" i="8"/>
  <c r="P81" i="8"/>
  <c r="T81" i="8"/>
  <c r="X81" i="8"/>
  <c r="L82" i="8"/>
  <c r="P82" i="8"/>
  <c r="T82" i="8"/>
  <c r="X82" i="8"/>
  <c r="L83" i="8"/>
  <c r="P83" i="8"/>
  <c r="T83" i="8"/>
  <c r="X83" i="8"/>
  <c r="L84" i="8"/>
  <c r="P84" i="8"/>
  <c r="T84" i="8"/>
  <c r="X84" i="8"/>
  <c r="L85" i="8"/>
  <c r="P85" i="8"/>
  <c r="T85" i="8"/>
  <c r="X85" i="8"/>
  <c r="L86" i="8"/>
  <c r="P86" i="8"/>
  <c r="T86" i="8"/>
  <c r="X86" i="8"/>
  <c r="L87" i="8"/>
  <c r="P87" i="8"/>
  <c r="T87" i="8"/>
  <c r="V87" i="8"/>
  <c r="W87" i="8"/>
  <c r="AA87" i="8"/>
  <c r="U87" i="8"/>
  <c r="I36" i="8"/>
  <c r="I35" i="8"/>
  <c r="I32" i="8"/>
  <c r="I31" i="8"/>
  <c r="J46" i="11" l="1"/>
  <c r="J47" i="11" s="1"/>
  <c r="L56" i="11"/>
  <c r="L57" i="11" s="1"/>
  <c r="L58" i="11" s="1"/>
  <c r="L59" i="11" s="1"/>
  <c r="K47" i="11"/>
  <c r="K55" i="11"/>
  <c r="K56" i="11" s="1"/>
  <c r="J57" i="11"/>
  <c r="J67" i="11"/>
  <c r="I39" i="11"/>
  <c r="AI38" i="8"/>
  <c r="I50" i="11"/>
  <c r="I62" i="11"/>
  <c r="E61" i="8"/>
  <c r="H61" i="8" s="1"/>
  <c r="I38" i="8"/>
  <c r="G38" i="8"/>
  <c r="E39" i="8"/>
  <c r="H39" i="8" s="1"/>
  <c r="E49" i="8"/>
  <c r="H49" i="8" s="1"/>
  <c r="Q45" i="8"/>
  <c r="P45" i="8"/>
  <c r="N45" i="8"/>
  <c r="M45" i="8"/>
  <c r="V68" i="8"/>
  <c r="M62" i="8"/>
  <c r="N62" i="8"/>
  <c r="O62" i="8"/>
  <c r="L63" i="8"/>
  <c r="M63" i="8"/>
  <c r="N63" i="8"/>
  <c r="O63" i="8"/>
  <c r="L64" i="8"/>
  <c r="M64" i="8"/>
  <c r="N64" i="8"/>
  <c r="O64" i="8"/>
  <c r="L65" i="8"/>
  <c r="M65" i="8"/>
  <c r="N65" i="8"/>
  <c r="O65" i="8"/>
  <c r="L66" i="8"/>
  <c r="M66" i="8"/>
  <c r="N66" i="8"/>
  <c r="O66" i="8"/>
  <c r="L67" i="8"/>
  <c r="M67" i="8"/>
  <c r="N67" i="8"/>
  <c r="O67" i="8"/>
  <c r="L68" i="8"/>
  <c r="M68" i="8"/>
  <c r="N68" i="8"/>
  <c r="O68" i="8"/>
  <c r="L69" i="8"/>
  <c r="M69" i="8"/>
  <c r="N69" i="8"/>
  <c r="O69" i="8"/>
  <c r="L70" i="8"/>
  <c r="M70" i="8"/>
  <c r="N70" i="8"/>
  <c r="O70" i="8"/>
  <c r="P62" i="8"/>
  <c r="Q62" i="8"/>
  <c r="R62" i="8"/>
  <c r="S62" i="8"/>
  <c r="T62" i="8"/>
  <c r="U62" i="8"/>
  <c r="V62" i="8"/>
  <c r="W62" i="8"/>
  <c r="X62" i="8"/>
  <c r="Y62" i="8"/>
  <c r="Z62" i="8"/>
  <c r="AA62" i="8"/>
  <c r="P63" i="8"/>
  <c r="Q63" i="8"/>
  <c r="R63" i="8"/>
  <c r="S63" i="8"/>
  <c r="T63" i="8"/>
  <c r="U63" i="8"/>
  <c r="V63" i="8"/>
  <c r="W63" i="8"/>
  <c r="X63" i="8"/>
  <c r="Y63" i="8"/>
  <c r="Z63" i="8"/>
  <c r="AA63" i="8"/>
  <c r="P64" i="8"/>
  <c r="Q64" i="8"/>
  <c r="R64" i="8"/>
  <c r="S64" i="8"/>
  <c r="T64" i="8"/>
  <c r="U64" i="8"/>
  <c r="V64" i="8"/>
  <c r="W64" i="8"/>
  <c r="X64" i="8"/>
  <c r="Y64" i="8"/>
  <c r="Z64" i="8"/>
  <c r="AA64" i="8"/>
  <c r="P65" i="8"/>
  <c r="Q65" i="8"/>
  <c r="R65" i="8"/>
  <c r="S65" i="8"/>
  <c r="T65" i="8"/>
  <c r="U65" i="8"/>
  <c r="V65" i="8"/>
  <c r="W65" i="8"/>
  <c r="X65" i="8"/>
  <c r="Y65" i="8"/>
  <c r="Z65" i="8"/>
  <c r="AA65" i="8"/>
  <c r="P66" i="8"/>
  <c r="Q66" i="8"/>
  <c r="R66" i="8"/>
  <c r="S66" i="8"/>
  <c r="T66" i="8"/>
  <c r="U66" i="8"/>
  <c r="V66" i="8"/>
  <c r="W66" i="8"/>
  <c r="X66" i="8"/>
  <c r="Y66" i="8"/>
  <c r="Z66" i="8"/>
  <c r="AA66" i="8"/>
  <c r="P67" i="8"/>
  <c r="Q67" i="8"/>
  <c r="R67" i="8"/>
  <c r="S67" i="8"/>
  <c r="T67" i="8"/>
  <c r="U67" i="8"/>
  <c r="V67" i="8"/>
  <c r="W67" i="8"/>
  <c r="X67" i="8"/>
  <c r="Y67" i="8"/>
  <c r="Z67" i="8"/>
  <c r="AA67" i="8"/>
  <c r="P68" i="8"/>
  <c r="Q68" i="8"/>
  <c r="R68" i="8"/>
  <c r="S68" i="8"/>
  <c r="T68" i="8"/>
  <c r="U68" i="8"/>
  <c r="W68" i="8"/>
  <c r="X68" i="8"/>
  <c r="Y68" i="8"/>
  <c r="Z68" i="8"/>
  <c r="AA68" i="8"/>
  <c r="P69" i="8"/>
  <c r="Q69" i="8"/>
  <c r="R69" i="8"/>
  <c r="S69" i="8"/>
  <c r="T69" i="8"/>
  <c r="U69" i="8"/>
  <c r="V69" i="8"/>
  <c r="W69" i="8"/>
  <c r="X69" i="8"/>
  <c r="Y69" i="8"/>
  <c r="Z69" i="8"/>
  <c r="AA69" i="8"/>
  <c r="P70" i="8"/>
  <c r="Q70" i="8"/>
  <c r="R70" i="8"/>
  <c r="S70" i="8"/>
  <c r="T70" i="8"/>
  <c r="U70" i="8"/>
  <c r="V70" i="8"/>
  <c r="W70" i="8"/>
  <c r="X70" i="8"/>
  <c r="Y70" i="8"/>
  <c r="Z70" i="8"/>
  <c r="AA70" i="8"/>
  <c r="O45" i="8"/>
  <c r="L45" i="8"/>
  <c r="E47" i="11" l="1" a="1"/>
  <c r="E47" i="11" s="1"/>
  <c r="AV47" i="11" s="1"/>
  <c r="E45" i="11" a="1"/>
  <c r="E45" i="11" s="1"/>
  <c r="AV45" i="11" s="1"/>
  <c r="E39" i="11" a="1"/>
  <c r="E39" i="11" s="1"/>
  <c r="AV39" i="11" s="1"/>
  <c r="E41" i="11" a="1"/>
  <c r="E41" i="11" s="1"/>
  <c r="E42" i="11" a="1"/>
  <c r="E42" i="11" s="1"/>
  <c r="AV42" i="11" s="1"/>
  <c r="E44" i="11" a="1"/>
  <c r="E44" i="11" s="1"/>
  <c r="AV44" i="11" s="1"/>
  <c r="E46" i="11" a="1"/>
  <c r="E46" i="11" s="1"/>
  <c r="AV46" i="11" s="1"/>
  <c r="E43" i="11" a="1"/>
  <c r="E43" i="11" s="1"/>
  <c r="AV43" i="11" s="1"/>
  <c r="E40" i="11" a="1"/>
  <c r="E40" i="11" s="1"/>
  <c r="AV40" i="11" s="1"/>
  <c r="K57" i="11"/>
  <c r="K58" i="11" s="1"/>
  <c r="J68" i="11"/>
  <c r="J58" i="11"/>
  <c r="E38" i="11" a="1"/>
  <c r="E38" i="11" s="1"/>
  <c r="AV38" i="11" s="1"/>
  <c r="I40" i="11"/>
  <c r="I63" i="11"/>
  <c r="AI49" i="8"/>
  <c r="AI61" i="8"/>
  <c r="AI39" i="8"/>
  <c r="I51" i="11"/>
  <c r="E30" i="8"/>
  <c r="H30" i="8" s="1"/>
  <c r="I39" i="8"/>
  <c r="G39" i="8"/>
  <c r="E62" i="8"/>
  <c r="H62" i="8" s="1"/>
  <c r="E50" i="8"/>
  <c r="H50" i="8" s="1"/>
  <c r="E40" i="8"/>
  <c r="H40" i="8" s="1"/>
  <c r="AA47" i="8"/>
  <c r="Z47" i="8"/>
  <c r="Y47" i="8"/>
  <c r="X47" i="8"/>
  <c r="W47" i="8"/>
  <c r="V47" i="8"/>
  <c r="U47" i="8"/>
  <c r="T47" i="8"/>
  <c r="S47" i="8"/>
  <c r="R47" i="8"/>
  <c r="Q47" i="8"/>
  <c r="P47" i="8"/>
  <c r="O47" i="8"/>
  <c r="L47" i="8"/>
  <c r="M47" i="8"/>
  <c r="N47" i="8"/>
  <c r="AA53" i="8"/>
  <c r="Z53" i="8"/>
  <c r="Y53" i="8"/>
  <c r="X53" i="8"/>
  <c r="W53" i="8"/>
  <c r="V53" i="8"/>
  <c r="U53" i="8"/>
  <c r="P53" i="8"/>
  <c r="Q53" i="8"/>
  <c r="R53" i="8"/>
  <c r="S53" i="8"/>
  <c r="T53" i="8"/>
  <c r="AA50" i="8"/>
  <c r="Z50" i="8"/>
  <c r="Y50" i="8"/>
  <c r="X50" i="8"/>
  <c r="W50" i="8"/>
  <c r="V50" i="8"/>
  <c r="U50" i="8"/>
  <c r="T50" i="8"/>
  <c r="S50" i="8"/>
  <c r="R50" i="8"/>
  <c r="P50" i="8"/>
  <c r="Q50" i="8"/>
  <c r="O53" i="8"/>
  <c r="N53" i="8"/>
  <c r="M53" i="8"/>
  <c r="L53" i="8"/>
  <c r="O50" i="8"/>
  <c r="N50" i="8"/>
  <c r="M50" i="8"/>
  <c r="L50" i="8"/>
  <c r="AA52" i="8"/>
  <c r="Z52" i="8"/>
  <c r="Y52" i="8"/>
  <c r="X52" i="8"/>
  <c r="W52" i="8"/>
  <c r="V52" i="8"/>
  <c r="U52" i="8"/>
  <c r="T52" i="8"/>
  <c r="S52" i="8"/>
  <c r="AA51" i="8"/>
  <c r="Z51" i="8"/>
  <c r="Y51" i="8"/>
  <c r="X51" i="8"/>
  <c r="W51" i="8"/>
  <c r="V51" i="8"/>
  <c r="U51" i="8"/>
  <c r="T51" i="8"/>
  <c r="T49" i="8"/>
  <c r="AA49" i="8"/>
  <c r="Z49" i="8"/>
  <c r="Y49" i="8"/>
  <c r="X49" i="8"/>
  <c r="W49" i="8"/>
  <c r="V49" i="8"/>
  <c r="U49" i="8"/>
  <c r="S49" i="8"/>
  <c r="R49" i="8"/>
  <c r="Q49" i="8"/>
  <c r="AA48" i="8"/>
  <c r="Z48" i="8"/>
  <c r="Y48" i="8"/>
  <c r="X48" i="8"/>
  <c r="W48" i="8"/>
  <c r="V48" i="8"/>
  <c r="U48" i="8"/>
  <c r="T48" i="8"/>
  <c r="S48" i="8"/>
  <c r="R48" i="8"/>
  <c r="AA46" i="8"/>
  <c r="Z46" i="8"/>
  <c r="Y46" i="8"/>
  <c r="X46" i="8"/>
  <c r="W46" i="8"/>
  <c r="V46" i="8"/>
  <c r="U46" i="8"/>
  <c r="T46" i="8"/>
  <c r="S46" i="8"/>
  <c r="R46" i="8"/>
  <c r="Q46" i="8"/>
  <c r="P46" i="8"/>
  <c r="O46" i="8"/>
  <c r="Q48" i="8"/>
  <c r="N46" i="8"/>
  <c r="R52" i="8"/>
  <c r="Q52" i="8"/>
  <c r="P52" i="8"/>
  <c r="O52" i="8"/>
  <c r="N52" i="8"/>
  <c r="M52" i="8"/>
  <c r="L52" i="8"/>
  <c r="P49" i="8"/>
  <c r="O49" i="8"/>
  <c r="N49" i="8"/>
  <c r="M49" i="8"/>
  <c r="L49" i="8"/>
  <c r="S51" i="8"/>
  <c r="R51" i="8"/>
  <c r="Q51" i="8"/>
  <c r="P51" i="8"/>
  <c r="O51" i="8"/>
  <c r="N51" i="8"/>
  <c r="M51" i="8"/>
  <c r="L51" i="8"/>
  <c r="P48" i="8"/>
  <c r="O48" i="8"/>
  <c r="N48" i="8"/>
  <c r="M48" i="8"/>
  <c r="L48" i="8"/>
  <c r="M46" i="8"/>
  <c r="L46" i="8"/>
  <c r="AA45" i="8"/>
  <c r="Z45" i="8"/>
  <c r="Y45" i="8"/>
  <c r="X45" i="8"/>
  <c r="W45" i="8"/>
  <c r="V45" i="8"/>
  <c r="U45" i="8"/>
  <c r="T45" i="8"/>
  <c r="S45" i="8"/>
  <c r="R45" i="8"/>
  <c r="G75" i="8"/>
  <c r="I49" i="8"/>
  <c r="H41" i="11" l="1"/>
  <c r="AV41" i="11"/>
  <c r="G41" i="11"/>
  <c r="G44" i="11"/>
  <c r="H44" i="11"/>
  <c r="G38" i="11"/>
  <c r="H38" i="11"/>
  <c r="G40" i="11"/>
  <c r="H40" i="11"/>
  <c r="G43" i="11"/>
  <c r="H43" i="11"/>
  <c r="G42" i="11"/>
  <c r="H42" i="11"/>
  <c r="G46" i="11"/>
  <c r="H46" i="11"/>
  <c r="G39" i="11"/>
  <c r="H39" i="11"/>
  <c r="G45" i="11"/>
  <c r="H45" i="11"/>
  <c r="G47" i="11"/>
  <c r="H47" i="11"/>
  <c r="K59" i="11"/>
  <c r="J69" i="11"/>
  <c r="J59" i="11"/>
  <c r="I41" i="11"/>
  <c r="I64" i="11"/>
  <c r="AI50" i="8"/>
  <c r="AI62" i="8"/>
  <c r="AH30" i="8"/>
  <c r="AI30" i="8" s="1"/>
  <c r="C30" i="12"/>
  <c r="J30" i="12"/>
  <c r="H30" i="12"/>
  <c r="B30" i="12"/>
  <c r="I30" i="12"/>
  <c r="AI40" i="8"/>
  <c r="I52" i="11"/>
  <c r="I30" i="8"/>
  <c r="H72" i="8"/>
  <c r="I50" i="8"/>
  <c r="G40" i="8"/>
  <c r="E63" i="8"/>
  <c r="H63" i="8" s="1"/>
  <c r="I40" i="8"/>
  <c r="E41" i="8"/>
  <c r="H41" i="8" s="1"/>
  <c r="E51" i="8"/>
  <c r="H51" i="8" s="1"/>
  <c r="E29" i="8"/>
  <c r="H29" i="8" s="1"/>
  <c r="H28" i="8" s="1"/>
  <c r="G50" i="8"/>
  <c r="G49" i="8"/>
  <c r="H37" i="11" l="1"/>
  <c r="E51" i="11" a="1"/>
  <c r="E51" i="11" s="1"/>
  <c r="AV51" i="11" s="1"/>
  <c r="E57" i="11" a="1"/>
  <c r="E57" i="11" s="1"/>
  <c r="AV57" i="11" s="1"/>
  <c r="E54" i="11" a="1"/>
  <c r="E54" i="11" s="1"/>
  <c r="AV54" i="11" s="1"/>
  <c r="E49" i="11" a="1"/>
  <c r="E49" i="11" s="1"/>
  <c r="AV49" i="11" s="1"/>
  <c r="E58" i="11" a="1"/>
  <c r="E58" i="11" s="1"/>
  <c r="AV58" i="11" s="1"/>
  <c r="E59" i="11" a="1"/>
  <c r="E59" i="11" s="1"/>
  <c r="AV59" i="11" s="1"/>
  <c r="E55" i="11" a="1"/>
  <c r="E55" i="11" s="1"/>
  <c r="AV55" i="11" s="1"/>
  <c r="E53" i="11" a="1"/>
  <c r="E53" i="11" s="1"/>
  <c r="AV53" i="11" s="1"/>
  <c r="E52" i="11" a="1"/>
  <c r="E52" i="11" s="1"/>
  <c r="AV52" i="11" s="1"/>
  <c r="E56" i="11" a="1"/>
  <c r="E56" i="11" s="1"/>
  <c r="AV56" i="11" s="1"/>
  <c r="E50" i="11" a="1"/>
  <c r="E50" i="11" s="1"/>
  <c r="AV50" i="11" s="1"/>
  <c r="J70" i="11"/>
  <c r="E70" i="11" s="1" a="1"/>
  <c r="E70" i="11" s="1"/>
  <c r="AV70" i="11" s="1"/>
  <c r="I42" i="11"/>
  <c r="I65" i="11"/>
  <c r="AI41" i="8"/>
  <c r="AH29" i="8"/>
  <c r="AI29" i="8" s="1"/>
  <c r="J29" i="12"/>
  <c r="H29" i="12"/>
  <c r="C29" i="12"/>
  <c r="B29" i="12"/>
  <c r="I29" i="12"/>
  <c r="AI51" i="8"/>
  <c r="AI63" i="8"/>
  <c r="I54" i="11"/>
  <c r="I53" i="11"/>
  <c r="E42" i="8"/>
  <c r="H42" i="8" s="1"/>
  <c r="E64" i="8"/>
  <c r="H64" i="8" s="1"/>
  <c r="I29" i="8"/>
  <c r="G51" i="8"/>
  <c r="E52" i="8"/>
  <c r="H52" i="8" s="1"/>
  <c r="I51" i="8"/>
  <c r="I41" i="8"/>
  <c r="G41" i="8"/>
  <c r="G50" i="11" l="1"/>
  <c r="H50" i="11"/>
  <c r="G56" i="11"/>
  <c r="H56" i="11"/>
  <c r="G52" i="11"/>
  <c r="H52" i="11"/>
  <c r="G53" i="11"/>
  <c r="H53" i="11"/>
  <c r="G58" i="11"/>
  <c r="H58" i="11"/>
  <c r="G70" i="11"/>
  <c r="H70" i="11"/>
  <c r="G54" i="11"/>
  <c r="H54" i="11"/>
  <c r="G59" i="11"/>
  <c r="H59" i="11"/>
  <c r="G57" i="11"/>
  <c r="H57" i="11"/>
  <c r="E62" i="11" a="1"/>
  <c r="E62" i="11" s="1"/>
  <c r="AV62" i="11" s="1"/>
  <c r="G51" i="11"/>
  <c r="H51" i="11"/>
  <c r="G55" i="11"/>
  <c r="H55" i="11"/>
  <c r="G49" i="11"/>
  <c r="H49" i="11"/>
  <c r="E65" i="11" a="1"/>
  <c r="E65" i="11" s="1"/>
  <c r="AV65" i="11" s="1"/>
  <c r="E68" i="11" a="1"/>
  <c r="E68" i="11" s="1"/>
  <c r="AV68" i="11" s="1"/>
  <c r="E66" i="11" a="1"/>
  <c r="E66" i="11" s="1"/>
  <c r="AV66" i="11" s="1"/>
  <c r="E67" i="11" a="1"/>
  <c r="E67" i="11" s="1"/>
  <c r="AV67" i="11" s="1"/>
  <c r="E64" i="11" a="1"/>
  <c r="E64" i="11" s="1"/>
  <c r="AV64" i="11" s="1"/>
  <c r="E69" i="11" a="1"/>
  <c r="E69" i="11" s="1"/>
  <c r="AV69" i="11" s="1"/>
  <c r="E61" i="11" a="1"/>
  <c r="E61" i="11" s="1"/>
  <c r="AV61" i="11" s="1"/>
  <c r="E63" i="11" a="1"/>
  <c r="E63" i="11" s="1"/>
  <c r="AV63" i="11" s="1"/>
  <c r="I43" i="11"/>
  <c r="I66" i="11"/>
  <c r="AI42" i="8"/>
  <c r="AI52" i="8"/>
  <c r="AI64" i="8"/>
  <c r="I55" i="11"/>
  <c r="I42" i="8"/>
  <c r="G42" i="8"/>
  <c r="E43" i="8"/>
  <c r="H43" i="8" s="1"/>
  <c r="E53" i="8"/>
  <c r="H53" i="8" s="1"/>
  <c r="E65" i="8"/>
  <c r="H65" i="8" s="1"/>
  <c r="I52" i="8"/>
  <c r="G52" i="8"/>
  <c r="AV71" i="11" l="1"/>
  <c r="AV72" i="11" s="1"/>
  <c r="E76" i="11" s="1"/>
  <c r="G64" i="11"/>
  <c r="H64" i="11"/>
  <c r="G62" i="11"/>
  <c r="H62" i="11"/>
  <c r="G69" i="11"/>
  <c r="H69" i="11"/>
  <c r="G65" i="11"/>
  <c r="H65" i="11"/>
  <c r="G61" i="11"/>
  <c r="H61" i="11"/>
  <c r="G67" i="11"/>
  <c r="H67" i="11"/>
  <c r="G68" i="11"/>
  <c r="H68" i="11"/>
  <c r="G63" i="11"/>
  <c r="H63" i="11"/>
  <c r="G66" i="11"/>
  <c r="H66" i="11"/>
  <c r="H48" i="11"/>
  <c r="I44" i="11"/>
  <c r="I45" i="11"/>
  <c r="I67" i="11"/>
  <c r="I46" i="11"/>
  <c r="AI43" i="8"/>
  <c r="AI53" i="8"/>
  <c r="AI65" i="8"/>
  <c r="I56" i="11"/>
  <c r="G53" i="8"/>
  <c r="E54" i="8"/>
  <c r="H54" i="8" s="1"/>
  <c r="E44" i="8"/>
  <c r="H44" i="8" s="1"/>
  <c r="I43" i="8"/>
  <c r="G43" i="8"/>
  <c r="I53" i="8"/>
  <c r="E66" i="8"/>
  <c r="H66" i="8" s="1"/>
  <c r="G74" i="8"/>
  <c r="E27" i="4"/>
  <c r="E34" i="4"/>
  <c r="E33" i="4"/>
  <c r="E32" i="4"/>
  <c r="E31" i="4"/>
  <c r="E30" i="4"/>
  <c r="E29" i="4"/>
  <c r="E28" i="4"/>
  <c r="E26" i="4"/>
  <c r="E25" i="4"/>
  <c r="H60" i="11" l="1"/>
  <c r="I68" i="11"/>
  <c r="I47" i="11"/>
  <c r="AI44" i="8"/>
  <c r="AI54" i="8"/>
  <c r="I57" i="11"/>
  <c r="I66" i="8"/>
  <c r="AI66" i="8"/>
  <c r="E55" i="8"/>
  <c r="H55" i="8" s="1"/>
  <c r="E45" i="8"/>
  <c r="H45" i="8" s="1"/>
  <c r="G54" i="8"/>
  <c r="I54" i="8"/>
  <c r="G44" i="8"/>
  <c r="I44" i="8"/>
  <c r="E67" i="8"/>
  <c r="H67" i="8" s="1"/>
  <c r="E24" i="4"/>
  <c r="E23" i="4"/>
  <c r="E22" i="4"/>
  <c r="E21" i="4"/>
  <c r="I69" i="11" l="1"/>
  <c r="AI45" i="8"/>
  <c r="AI55" i="8"/>
  <c r="AI67" i="8"/>
  <c r="I58" i="11"/>
  <c r="E56" i="8"/>
  <c r="H56" i="8" s="1"/>
  <c r="I55" i="8"/>
  <c r="G55" i="8"/>
  <c r="I45" i="8"/>
  <c r="G45" i="8"/>
  <c r="E46" i="8"/>
  <c r="H46" i="8" s="1"/>
  <c r="E68" i="8"/>
  <c r="H68" i="8" s="1"/>
  <c r="I34" i="4"/>
  <c r="I33" i="4"/>
  <c r="I32" i="4"/>
  <c r="I31" i="4"/>
  <c r="I30" i="4"/>
  <c r="I29" i="4"/>
  <c r="I28" i="4"/>
  <c r="I27" i="4"/>
  <c r="I26" i="4"/>
  <c r="I25" i="4"/>
  <c r="I24" i="4"/>
  <c r="I23" i="4"/>
  <c r="I22" i="4"/>
  <c r="I21" i="4"/>
  <c r="N98" i="4"/>
  <c r="N95" i="4"/>
  <c r="P95" i="4"/>
  <c r="N94" i="4"/>
  <c r="P94" i="4"/>
  <c r="N89" i="4"/>
  <c r="P89" i="4"/>
  <c r="R89" i="4"/>
  <c r="N88" i="4"/>
  <c r="P88" i="4"/>
  <c r="R88" i="4"/>
  <c r="N91" i="4"/>
  <c r="P91" i="4"/>
  <c r="R91" i="4"/>
  <c r="N90" i="4"/>
  <c r="P90" i="4"/>
  <c r="R90" i="4"/>
  <c r="N85" i="4"/>
  <c r="P85" i="4"/>
  <c r="R85" i="4"/>
  <c r="N84" i="4"/>
  <c r="P84" i="4"/>
  <c r="R84" i="4"/>
  <c r="T84" i="4"/>
  <c r="N83" i="4"/>
  <c r="P83" i="4"/>
  <c r="R83" i="4"/>
  <c r="T83" i="4"/>
  <c r="N82" i="4"/>
  <c r="P82" i="4"/>
  <c r="R82" i="4"/>
  <c r="T82" i="4"/>
  <c r="N81" i="4"/>
  <c r="P81" i="4"/>
  <c r="R81" i="4"/>
  <c r="T81" i="4"/>
  <c r="N80" i="4"/>
  <c r="P80" i="4"/>
  <c r="R80" i="4"/>
  <c r="T80" i="4"/>
  <c r="T60" i="4"/>
  <c r="T61" i="4"/>
  <c r="T62" i="4"/>
  <c r="T63" i="4"/>
  <c r="T64" i="4"/>
  <c r="T65" i="4"/>
  <c r="T66" i="4"/>
  <c r="T67" i="4"/>
  <c r="T68" i="4"/>
  <c r="T69" i="4"/>
  <c r="T70" i="4"/>
  <c r="T71" i="4"/>
  <c r="T72" i="4"/>
  <c r="T73" i="4"/>
  <c r="T74" i="4"/>
  <c r="T75" i="4"/>
  <c r="T76" i="4"/>
  <c r="T77" i="4"/>
  <c r="T78" i="4"/>
  <c r="T79" i="4"/>
  <c r="R60" i="4"/>
  <c r="R61" i="4"/>
  <c r="R62" i="4"/>
  <c r="R63" i="4"/>
  <c r="R64" i="4"/>
  <c r="R65" i="4"/>
  <c r="R66" i="4"/>
  <c r="R67" i="4"/>
  <c r="R68" i="4"/>
  <c r="R69" i="4"/>
  <c r="R70" i="4"/>
  <c r="R71" i="4"/>
  <c r="R72" i="4"/>
  <c r="R73" i="4"/>
  <c r="R74" i="4"/>
  <c r="R75" i="4"/>
  <c r="R76" i="4"/>
  <c r="R77" i="4"/>
  <c r="R78" i="4"/>
  <c r="R79" i="4"/>
  <c r="P60" i="4"/>
  <c r="P61" i="4"/>
  <c r="P62" i="4"/>
  <c r="P63" i="4"/>
  <c r="P64" i="4"/>
  <c r="P65" i="4"/>
  <c r="P66" i="4"/>
  <c r="P67" i="4"/>
  <c r="P68" i="4"/>
  <c r="P69" i="4"/>
  <c r="P70" i="4"/>
  <c r="P71" i="4"/>
  <c r="P72" i="4"/>
  <c r="P73" i="4"/>
  <c r="P74" i="4"/>
  <c r="P75" i="4"/>
  <c r="P76" i="4"/>
  <c r="P77" i="4"/>
  <c r="P78" i="4"/>
  <c r="P79" i="4"/>
  <c r="N60" i="4"/>
  <c r="N61" i="4"/>
  <c r="N62" i="4"/>
  <c r="N63" i="4"/>
  <c r="N64" i="4"/>
  <c r="N65" i="4"/>
  <c r="N66" i="4"/>
  <c r="N67" i="4"/>
  <c r="N68" i="4"/>
  <c r="N69" i="4"/>
  <c r="N70" i="4"/>
  <c r="N71" i="4"/>
  <c r="N72" i="4"/>
  <c r="N73" i="4"/>
  <c r="N74" i="4"/>
  <c r="N75" i="4"/>
  <c r="N76" i="4"/>
  <c r="N77" i="4"/>
  <c r="N78" i="4"/>
  <c r="N79" i="4"/>
  <c r="N86" i="4"/>
  <c r="N87" i="4"/>
  <c r="N92" i="4"/>
  <c r="N93" i="4"/>
  <c r="N96" i="4"/>
  <c r="N97" i="4"/>
  <c r="N59" i="4"/>
  <c r="R86" i="4"/>
  <c r="R87" i="4"/>
  <c r="R92" i="4"/>
  <c r="R93" i="4"/>
  <c r="P86" i="4"/>
  <c r="P87" i="4"/>
  <c r="P92" i="4"/>
  <c r="P93" i="4"/>
  <c r="P96" i="4"/>
  <c r="R59" i="4"/>
  <c r="P59" i="4"/>
  <c r="T59" i="4"/>
  <c r="H21" i="4"/>
  <c r="H22" i="4"/>
  <c r="H23" i="4"/>
  <c r="H24" i="4"/>
  <c r="H25" i="4"/>
  <c r="H26" i="4"/>
  <c r="H27" i="4"/>
  <c r="H28" i="4"/>
  <c r="H29" i="4"/>
  <c r="H30" i="4"/>
  <c r="H31" i="4"/>
  <c r="H32" i="4"/>
  <c r="H33" i="4"/>
  <c r="I70" i="11" l="1"/>
  <c r="I59" i="11"/>
  <c r="AI68" i="8"/>
  <c r="AI46" i="8"/>
  <c r="G56" i="8"/>
  <c r="AI56" i="8"/>
  <c r="E57" i="8"/>
  <c r="H57" i="8" s="1"/>
  <c r="I56" i="8"/>
  <c r="I46" i="8"/>
  <c r="G46" i="8"/>
  <c r="E47" i="8"/>
  <c r="H47" i="8" s="1"/>
  <c r="H37" i="8" s="1"/>
  <c r="E69" i="8"/>
  <c r="H69" i="8" s="1"/>
  <c r="D43" i="4"/>
  <c r="E36" i="4"/>
  <c r="H36" i="4" s="1"/>
  <c r="H35" i="4" s="1"/>
  <c r="J36" i="12" a="1"/>
  <c r="G76" i="11" l="1"/>
  <c r="G77" i="11" s="1"/>
  <c r="G78" i="11" s="1"/>
  <c r="G79" i="11" s="1"/>
  <c r="I71" i="11"/>
  <c r="D83" i="11" s="1"/>
  <c r="J36" i="12"/>
  <c r="AI69" i="8"/>
  <c r="AI47" i="8"/>
  <c r="E58" i="8"/>
  <c r="H58" i="8" s="1"/>
  <c r="AI57" i="8"/>
  <c r="G57" i="8"/>
  <c r="I57" i="8"/>
  <c r="E70" i="8"/>
  <c r="H70" i="8" s="1"/>
  <c r="H60" i="8" s="1"/>
  <c r="I47" i="8"/>
  <c r="G47" i="8"/>
  <c r="E23" i="6"/>
  <c r="I23" i="6" s="1"/>
  <c r="Q163" i="6"/>
  <c r="E22" i="6"/>
  <c r="I22" i="6" s="1"/>
  <c r="E21" i="6"/>
  <c r="I21" i="6" s="1"/>
  <c r="Q131" i="6"/>
  <c r="Q132" i="6"/>
  <c r="Q128" i="6"/>
  <c r="Q127" i="6"/>
  <c r="E23" i="7"/>
  <c r="E22" i="5"/>
  <c r="E21" i="5"/>
  <c r="C36" i="12" a="1"/>
  <c r="J32" i="12" a="1"/>
  <c r="B32" i="12" a="1"/>
  <c r="B36" i="12" a="1"/>
  <c r="I32" i="12" a="1"/>
  <c r="K36" i="12" a="1"/>
  <c r="H36" i="12" a="1"/>
  <c r="H32" i="12" a="1"/>
  <c r="I36" i="12" a="1"/>
  <c r="C32" i="12" a="1"/>
  <c r="H36" i="12" l="1"/>
  <c r="B36" i="12"/>
  <c r="K36" i="12"/>
  <c r="I36" i="12"/>
  <c r="C36" i="12"/>
  <c r="H76" i="11"/>
  <c r="H71" i="11" s="1"/>
  <c r="E59" i="8"/>
  <c r="I59" i="8" s="1"/>
  <c r="G58" i="8"/>
  <c r="I58" i="8"/>
  <c r="B32" i="12"/>
  <c r="C32" i="12"/>
  <c r="H32" i="12"/>
  <c r="I32" i="12"/>
  <c r="J32" i="12"/>
  <c r="AI70" i="8"/>
  <c r="AI58" i="8"/>
  <c r="E20" i="6"/>
  <c r="I20" i="6" s="1"/>
  <c r="D41" i="6" s="1"/>
  <c r="H31" i="6"/>
  <c r="G31" i="6"/>
  <c r="H31" i="5"/>
  <c r="G31" i="5"/>
  <c r="G32" i="5"/>
  <c r="H32" i="5"/>
  <c r="H32" i="7"/>
  <c r="G32" i="7"/>
  <c r="G42" i="2"/>
  <c r="H42" i="2"/>
  <c r="E29" i="6"/>
  <c r="Q147" i="6"/>
  <c r="Q148" i="6"/>
  <c r="Q164" i="6"/>
  <c r="Q157" i="6"/>
  <c r="Q158" i="6"/>
  <c r="Q159" i="6"/>
  <c r="Q160" i="6"/>
  <c r="Q161" i="6"/>
  <c r="Q162" i="6"/>
  <c r="Q149" i="6"/>
  <c r="Q150" i="6"/>
  <c r="Q151" i="6"/>
  <c r="Q152" i="6"/>
  <c r="Q153" i="6"/>
  <c r="Q154" i="6"/>
  <c r="Q155" i="6"/>
  <c r="Q156" i="6"/>
  <c r="Q136" i="6"/>
  <c r="Q137" i="6"/>
  <c r="Q138" i="6"/>
  <c r="Q139" i="6"/>
  <c r="Q140" i="6"/>
  <c r="Q141" i="6"/>
  <c r="Q142" i="6"/>
  <c r="Q143" i="6"/>
  <c r="Q144" i="6"/>
  <c r="Q145" i="6"/>
  <c r="Q146"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9" i="6"/>
  <c r="Q130" i="6"/>
  <c r="Q133" i="6"/>
  <c r="Q134" i="6"/>
  <c r="Q135" i="6"/>
  <c r="Q55" i="6"/>
  <c r="H34" i="6"/>
  <c r="G34" i="6"/>
  <c r="H33" i="6"/>
  <c r="G33" i="6"/>
  <c r="H32" i="6"/>
  <c r="G32" i="6"/>
  <c r="H30" i="6"/>
  <c r="G30" i="6"/>
  <c r="E24" i="7"/>
  <c r="E22" i="7"/>
  <c r="E23" i="5"/>
  <c r="E20" i="5"/>
  <c r="I20" i="5" s="1"/>
  <c r="E27" i="5"/>
  <c r="O88" i="5"/>
  <c r="P88" i="5" s="1"/>
  <c r="O89" i="5"/>
  <c r="P89" i="5" s="1"/>
  <c r="O66" i="5"/>
  <c r="P66" i="5" s="1"/>
  <c r="O67" i="5"/>
  <c r="P67" i="5" s="1"/>
  <c r="O60" i="5"/>
  <c r="P60" i="5" s="1"/>
  <c r="O61" i="5"/>
  <c r="P61" i="5" s="1"/>
  <c r="O55" i="5"/>
  <c r="O56" i="5"/>
  <c r="O57" i="5"/>
  <c r="O58" i="5"/>
  <c r="O59" i="5"/>
  <c r="O62" i="5"/>
  <c r="O63" i="5"/>
  <c r="O64" i="5"/>
  <c r="O65" i="5"/>
  <c r="O68" i="5"/>
  <c r="O69" i="5"/>
  <c r="O70" i="5"/>
  <c r="O71" i="5"/>
  <c r="O72" i="5"/>
  <c r="O73" i="5"/>
  <c r="O74" i="5"/>
  <c r="O75" i="5"/>
  <c r="O76" i="5"/>
  <c r="O77" i="5"/>
  <c r="O78" i="5"/>
  <c r="O79" i="5"/>
  <c r="O80" i="5"/>
  <c r="O81" i="5"/>
  <c r="O82" i="5"/>
  <c r="O83" i="5"/>
  <c r="O84" i="5"/>
  <c r="O85" i="5"/>
  <c r="O86" i="5"/>
  <c r="O87"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P129" i="5" s="1"/>
  <c r="O130" i="5"/>
  <c r="P130" i="5" s="1"/>
  <c r="O131" i="5"/>
  <c r="P131" i="5" s="1"/>
  <c r="O132" i="5"/>
  <c r="P132" i="5" s="1"/>
  <c r="O133" i="5"/>
  <c r="P133" i="5" s="1"/>
  <c r="O134" i="5"/>
  <c r="P134" i="5" s="1"/>
  <c r="O135" i="5"/>
  <c r="P135" i="5" s="1"/>
  <c r="O54" i="5"/>
  <c r="H34" i="12" a="1"/>
  <c r="J34" i="12" a="1"/>
  <c r="C34" i="12" a="1"/>
  <c r="B34" i="12" a="1"/>
  <c r="K34" i="12" a="1"/>
  <c r="I34" i="12" a="1"/>
  <c r="G59" i="8" l="1"/>
  <c r="B34" i="12"/>
  <c r="J34" i="12"/>
  <c r="I34" i="12"/>
  <c r="H34" i="12"/>
  <c r="K34" i="12"/>
  <c r="C34" i="12"/>
  <c r="AI59" i="8"/>
  <c r="AI71" i="8" s="1"/>
  <c r="AI72" i="8" s="1"/>
  <c r="E76" i="8" s="1"/>
  <c r="H59" i="8"/>
  <c r="H48" i="8" s="1"/>
  <c r="E29" i="5"/>
  <c r="G29" i="5" s="1"/>
  <c r="G27" i="5"/>
  <c r="E26" i="5"/>
  <c r="G26" i="5" s="1"/>
  <c r="E25" i="5"/>
  <c r="G25" i="5" s="1"/>
  <c r="I23" i="5"/>
  <c r="I22" i="5"/>
  <c r="I21" i="5"/>
  <c r="H30" i="5"/>
  <c r="H33" i="5"/>
  <c r="H34" i="5"/>
  <c r="G34" i="5"/>
  <c r="G33" i="5"/>
  <c r="G30" i="5"/>
  <c r="P54" i="5"/>
  <c r="P55" i="5"/>
  <c r="P56" i="5"/>
  <c r="P57" i="5"/>
  <c r="P58" i="5"/>
  <c r="P59" i="5"/>
  <c r="P62" i="5"/>
  <c r="P63" i="5"/>
  <c r="P64" i="5"/>
  <c r="H76" i="8" l="1"/>
  <c r="H71" i="8" s="1"/>
  <c r="I55" i="12"/>
  <c r="K55" i="12" s="1"/>
  <c r="G76" i="8"/>
  <c r="H29" i="5"/>
  <c r="D41" i="5"/>
  <c r="H27" i="5"/>
  <c r="H26" i="5"/>
  <c r="H25" i="5"/>
  <c r="H24" i="5" s="1"/>
  <c r="E21" i="7"/>
  <c r="I21" i="7" s="1"/>
  <c r="I22" i="7"/>
  <c r="I24" i="7"/>
  <c r="I23" i="7"/>
  <c r="P71" i="7" l="1"/>
  <c r="Q71" i="7" s="1"/>
  <c r="P72" i="7"/>
  <c r="Q72" i="7" s="1"/>
  <c r="P65" i="7"/>
  <c r="Q65" i="7" s="1"/>
  <c r="P66" i="7"/>
  <c r="Q66" i="7" s="1"/>
  <c r="P67" i="7"/>
  <c r="Q67" i="7" s="1"/>
  <c r="E30" i="7"/>
  <c r="H30" i="7" s="1"/>
  <c r="E28" i="7"/>
  <c r="H28" i="7" s="1"/>
  <c r="E27" i="7"/>
  <c r="G27" i="7" s="1"/>
  <c r="E26" i="7"/>
  <c r="H26" i="7" s="1"/>
  <c r="P108" i="7"/>
  <c r="Q108" i="7" s="1"/>
  <c r="P107" i="7"/>
  <c r="Q107" i="7" s="1"/>
  <c r="P106" i="7"/>
  <c r="Q106" i="7" s="1"/>
  <c r="P105" i="7"/>
  <c r="Q105" i="7" s="1"/>
  <c r="P104" i="7"/>
  <c r="Q104" i="7" s="1"/>
  <c r="P103" i="7"/>
  <c r="Q103" i="7" s="1"/>
  <c r="P102" i="7"/>
  <c r="Q102" i="7" s="1"/>
  <c r="P101" i="7"/>
  <c r="Q101" i="7" s="1"/>
  <c r="P100" i="7"/>
  <c r="Q100" i="7" s="1"/>
  <c r="P99" i="7"/>
  <c r="Q99" i="7" s="1"/>
  <c r="P98" i="7"/>
  <c r="Q98" i="7" s="1"/>
  <c r="P97" i="7"/>
  <c r="Q97" i="7" s="1"/>
  <c r="P96" i="7"/>
  <c r="Q96" i="7" s="1"/>
  <c r="P95" i="7"/>
  <c r="Q95" i="7" s="1"/>
  <c r="P94" i="7"/>
  <c r="Q94" i="7" s="1"/>
  <c r="P93" i="7"/>
  <c r="Q93" i="7" s="1"/>
  <c r="P92" i="7"/>
  <c r="Q92" i="7" s="1"/>
  <c r="P91" i="7"/>
  <c r="Q91" i="7" s="1"/>
  <c r="P90" i="7"/>
  <c r="Q90" i="7" s="1"/>
  <c r="P89" i="7"/>
  <c r="Q89" i="7" s="1"/>
  <c r="P88" i="7"/>
  <c r="Q88" i="7" s="1"/>
  <c r="P87" i="7"/>
  <c r="Q87" i="7" s="1"/>
  <c r="P86" i="7"/>
  <c r="Q86" i="7" s="1"/>
  <c r="P85" i="7"/>
  <c r="Q85" i="7" s="1"/>
  <c r="P84" i="7"/>
  <c r="Q84" i="7" s="1"/>
  <c r="P83" i="7"/>
  <c r="Q83" i="7" s="1"/>
  <c r="P82" i="7"/>
  <c r="Q82" i="7" s="1"/>
  <c r="P81" i="7"/>
  <c r="Q81" i="7" s="1"/>
  <c r="P80" i="7"/>
  <c r="Q80" i="7" s="1"/>
  <c r="P79" i="7"/>
  <c r="Q79" i="7" s="1"/>
  <c r="P78" i="7"/>
  <c r="Q78" i="7" s="1"/>
  <c r="P77" i="7"/>
  <c r="Q77" i="7" s="1"/>
  <c r="P76" i="7"/>
  <c r="Q76" i="7" s="1"/>
  <c r="P75" i="7"/>
  <c r="Q75" i="7" s="1"/>
  <c r="P74" i="7"/>
  <c r="Q74" i="7" s="1"/>
  <c r="P73" i="7"/>
  <c r="Q73" i="7" s="1"/>
  <c r="P70" i="7"/>
  <c r="Q70" i="7" s="1"/>
  <c r="P69" i="7"/>
  <c r="Q69" i="7" s="1"/>
  <c r="P68" i="7"/>
  <c r="Q68" i="7" s="1"/>
  <c r="P64" i="7"/>
  <c r="Q64" i="7" s="1"/>
  <c r="P63" i="7"/>
  <c r="Q63" i="7" s="1"/>
  <c r="P62" i="7"/>
  <c r="Q62" i="7" s="1"/>
  <c r="P61" i="7"/>
  <c r="Q61" i="7" s="1"/>
  <c r="P60" i="7"/>
  <c r="Q60" i="7" s="1"/>
  <c r="P59" i="7"/>
  <c r="Q59" i="7" s="1"/>
  <c r="P58" i="7"/>
  <c r="Q58" i="7" s="1"/>
  <c r="P57" i="7"/>
  <c r="Q57" i="7" s="1"/>
  <c r="E36" i="7"/>
  <c r="H36" i="7" s="1"/>
  <c r="H35" i="7"/>
  <c r="G35" i="7"/>
  <c r="H34" i="7"/>
  <c r="G34" i="7"/>
  <c r="H33" i="7"/>
  <c r="G33" i="7"/>
  <c r="H31" i="7"/>
  <c r="G31" i="7"/>
  <c r="D43" i="7" l="1"/>
  <c r="G30" i="7"/>
  <c r="G28" i="7"/>
  <c r="G26" i="7"/>
  <c r="H27" i="7"/>
  <c r="H25" i="7" s="1"/>
  <c r="G36" i="7"/>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S104" i="2" l="1"/>
  <c r="S103" i="2"/>
  <c r="R69" i="2"/>
  <c r="S69" i="2" s="1"/>
  <c r="S70" i="2"/>
  <c r="E46" i="2"/>
  <c r="D53" i="2" l="1"/>
  <c r="E38" i="2"/>
  <c r="E36" i="2"/>
  <c r="E37" i="2"/>
  <c r="E40" i="2"/>
  <c r="E22" i="3"/>
  <c r="M22" i="3" s="1"/>
  <c r="G44" i="2"/>
  <c r="H44" i="2"/>
  <c r="G41" i="2"/>
  <c r="H41" i="2"/>
  <c r="S192" i="2"/>
  <c r="S193" i="2"/>
  <c r="S194" i="2"/>
  <c r="S182" i="2" l="1"/>
  <c r="S183" i="2"/>
  <c r="S184" i="2"/>
  <c r="S185" i="2"/>
  <c r="S186" i="2"/>
  <c r="S187" i="2"/>
  <c r="S188" i="2"/>
  <c r="S189" i="2"/>
  <c r="S190" i="2"/>
  <c r="S191" i="2"/>
  <c r="S173" i="2"/>
  <c r="S174" i="2"/>
  <c r="S175" i="2"/>
  <c r="S176" i="2"/>
  <c r="S177" i="2"/>
  <c r="S178" i="2"/>
  <c r="S179" i="2"/>
  <c r="S180" i="2"/>
  <c r="S181" i="2"/>
  <c r="S72" i="2"/>
  <c r="S73" i="2"/>
  <c r="S74" i="2"/>
  <c r="S75" i="2"/>
  <c r="S76" i="2"/>
  <c r="S77" i="2"/>
  <c r="S78" i="2"/>
  <c r="S79" i="2"/>
  <c r="S80" i="2"/>
  <c r="S81" i="2"/>
  <c r="S82" i="2"/>
  <c r="S83" i="2"/>
  <c r="S84" i="2"/>
  <c r="S85" i="2"/>
  <c r="S86" i="2"/>
  <c r="S87" i="2"/>
  <c r="S88" i="2"/>
  <c r="S89" i="2"/>
  <c r="S90" i="2"/>
  <c r="S91" i="2"/>
  <c r="S92" i="2"/>
  <c r="S94" i="2"/>
  <c r="S95" i="2"/>
  <c r="S96" i="2"/>
  <c r="S97" i="2"/>
  <c r="S98" i="2"/>
  <c r="S99" i="2"/>
  <c r="S100" i="2"/>
  <c r="S101" i="2"/>
  <c r="S102"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6" i="2"/>
  <c r="S147" i="2"/>
  <c r="S148" i="2"/>
  <c r="S149" i="2"/>
  <c r="S150" i="2"/>
  <c r="S151" i="2"/>
  <c r="S152" i="2"/>
  <c r="S153" i="2"/>
  <c r="S154" i="2"/>
  <c r="S156" i="2"/>
  <c r="S157" i="2"/>
  <c r="S158" i="2"/>
  <c r="S159" i="2"/>
  <c r="S160" i="2"/>
  <c r="S161" i="2"/>
  <c r="S162" i="2"/>
  <c r="S163" i="2"/>
  <c r="S164" i="2"/>
  <c r="S165" i="2"/>
  <c r="S167" i="2"/>
  <c r="S168" i="2"/>
  <c r="S169" i="2"/>
  <c r="S170" i="2"/>
  <c r="S171" i="2"/>
  <c r="S172" i="2"/>
  <c r="S71" i="2"/>
  <c r="S166" i="2"/>
  <c r="S155" i="2"/>
  <c r="S145" i="2"/>
  <c r="S93" i="2"/>
  <c r="AA71" i="2"/>
  <c r="AB71" i="2" s="1"/>
  <c r="AA72" i="2"/>
  <c r="AB72" i="2" s="1"/>
  <c r="AA73" i="2"/>
  <c r="AB73" i="2" s="1"/>
  <c r="AA74" i="2"/>
  <c r="AB74" i="2" s="1"/>
  <c r="AA75" i="2"/>
  <c r="AB75" i="2" s="1"/>
  <c r="AA76" i="2"/>
  <c r="AB76" i="2" s="1"/>
  <c r="AA77" i="2"/>
  <c r="AB77" i="2" s="1"/>
  <c r="AA78" i="2"/>
  <c r="AB78" i="2" s="1"/>
  <c r="AA79" i="2"/>
  <c r="AB79" i="2" s="1"/>
  <c r="AA80" i="2"/>
  <c r="AB80" i="2" s="1"/>
  <c r="AA81" i="2"/>
  <c r="AB81" i="2" s="1"/>
  <c r="AA82" i="2"/>
  <c r="AB82" i="2" s="1"/>
  <c r="AA83" i="2"/>
  <c r="AB83" i="2" s="1"/>
  <c r="AA84" i="2"/>
  <c r="AB84" i="2" s="1"/>
  <c r="AA85" i="2"/>
  <c r="AB85" i="2" s="1"/>
  <c r="AA86" i="2"/>
  <c r="AB86" i="2" s="1"/>
  <c r="AA87" i="2"/>
  <c r="AB87" i="2" s="1"/>
  <c r="AA88" i="2"/>
  <c r="AB88" i="2" s="1"/>
  <c r="AA89" i="2"/>
  <c r="AB89" i="2" s="1"/>
  <c r="AA90" i="2"/>
  <c r="AB90" i="2" s="1"/>
  <c r="AA91" i="2"/>
  <c r="AB91" i="2" s="1"/>
  <c r="AA92" i="2"/>
  <c r="AB92" i="2" s="1"/>
  <c r="AA93" i="2"/>
  <c r="AB93" i="2" s="1"/>
  <c r="AA94" i="2"/>
  <c r="AB94" i="2" s="1"/>
  <c r="AA95" i="2"/>
  <c r="AB95" i="2" s="1"/>
  <c r="AA96" i="2"/>
  <c r="AB96" i="2" s="1"/>
  <c r="AA97" i="2"/>
  <c r="AB97" i="2" s="1"/>
  <c r="AA98" i="2"/>
  <c r="AB98" i="2" s="1"/>
  <c r="AA99" i="2"/>
  <c r="AB99" i="2" s="1"/>
  <c r="AA100" i="2"/>
  <c r="AB100" i="2" s="1"/>
  <c r="AA101" i="2"/>
  <c r="AB101" i="2" s="1"/>
  <c r="AA102" i="2"/>
  <c r="AB102" i="2" s="1"/>
  <c r="AA105" i="2"/>
  <c r="AB105" i="2" s="1"/>
  <c r="AA106" i="2"/>
  <c r="AB106" i="2" s="1"/>
  <c r="AA107" i="2"/>
  <c r="AB107" i="2" s="1"/>
  <c r="AA108" i="2"/>
  <c r="AB108" i="2" s="1"/>
  <c r="AA109" i="2"/>
  <c r="AB109" i="2" s="1"/>
  <c r="AA110" i="2"/>
  <c r="AB110" i="2" s="1"/>
  <c r="AA111" i="2"/>
  <c r="AB111" i="2" s="1"/>
  <c r="AA112" i="2"/>
  <c r="AB112" i="2" s="1"/>
  <c r="AA113" i="2"/>
  <c r="AB113" i="2" s="1"/>
  <c r="AA114" i="2"/>
  <c r="AB114" i="2" s="1"/>
  <c r="AA115" i="2"/>
  <c r="AB115" i="2" s="1"/>
  <c r="AA116" i="2"/>
  <c r="AB116" i="2" s="1"/>
  <c r="AA117" i="2"/>
  <c r="AB117" i="2" s="1"/>
  <c r="AA118" i="2"/>
  <c r="AB118" i="2" s="1"/>
  <c r="AA119" i="2"/>
  <c r="AB119" i="2" s="1"/>
  <c r="AA120" i="2"/>
  <c r="AB120" i="2" s="1"/>
  <c r="AA121" i="2"/>
  <c r="AB121" i="2" s="1"/>
  <c r="AA122" i="2"/>
  <c r="AB122" i="2" s="1"/>
  <c r="AA123" i="2"/>
  <c r="AB123" i="2" s="1"/>
  <c r="AA124" i="2"/>
  <c r="AB124" i="2" s="1"/>
  <c r="AA125" i="2"/>
  <c r="AB125" i="2" s="1"/>
  <c r="AA126" i="2"/>
  <c r="AB126" i="2" s="1"/>
  <c r="AA127" i="2"/>
  <c r="AB127" i="2" s="1"/>
  <c r="AA128" i="2"/>
  <c r="AB128" i="2" s="1"/>
  <c r="AA129" i="2"/>
  <c r="AB129" i="2" s="1"/>
  <c r="AA130" i="2"/>
  <c r="AB130" i="2" s="1"/>
  <c r="AA131" i="2"/>
  <c r="AB131" i="2" s="1"/>
  <c r="AA132" i="2"/>
  <c r="AB132" i="2" s="1"/>
  <c r="AA133" i="2"/>
  <c r="AB133" i="2" s="1"/>
  <c r="AA134" i="2"/>
  <c r="AB134" i="2" s="1"/>
  <c r="AA135" i="2"/>
  <c r="AB135" i="2" s="1"/>
  <c r="AA136" i="2"/>
  <c r="AB136" i="2" s="1"/>
  <c r="AA137" i="2"/>
  <c r="AB137" i="2" s="1"/>
  <c r="AA138" i="2"/>
  <c r="AB138" i="2" s="1"/>
  <c r="AA139" i="2"/>
  <c r="AB139" i="2" s="1"/>
  <c r="AA140" i="2"/>
  <c r="AB140" i="2" s="1"/>
  <c r="AA141" i="2"/>
  <c r="AB141" i="2" s="1"/>
  <c r="AA142" i="2"/>
  <c r="AB142" i="2" s="1"/>
  <c r="AA143" i="2"/>
  <c r="AB143" i="2" s="1"/>
  <c r="AA144" i="2"/>
  <c r="AB144" i="2" s="1"/>
  <c r="AA145" i="2"/>
  <c r="AB145" i="2" s="1"/>
  <c r="AA146" i="2"/>
  <c r="AB146" i="2" s="1"/>
  <c r="AA147" i="2"/>
  <c r="AB147" i="2" s="1"/>
  <c r="AA148" i="2"/>
  <c r="AB148" i="2" s="1"/>
  <c r="AA149" i="2"/>
  <c r="AB149" i="2" s="1"/>
  <c r="AA150" i="2"/>
  <c r="AB150" i="2" s="1"/>
  <c r="AA151" i="2"/>
  <c r="AB151" i="2" s="1"/>
  <c r="AA152" i="2"/>
  <c r="AB152" i="2" s="1"/>
  <c r="AA153" i="2"/>
  <c r="AB153" i="2" s="1"/>
  <c r="AA154" i="2"/>
  <c r="AB154" i="2" s="1"/>
  <c r="AA155" i="2"/>
  <c r="AB155" i="2" s="1"/>
  <c r="AA156" i="2"/>
  <c r="AB156" i="2" s="1"/>
  <c r="AA157" i="2"/>
  <c r="AB157" i="2" s="1"/>
  <c r="AA158" i="2"/>
  <c r="AB158" i="2" s="1"/>
  <c r="AA159" i="2"/>
  <c r="AB159" i="2" s="1"/>
  <c r="AA160" i="2"/>
  <c r="AB160" i="2" s="1"/>
  <c r="AA161" i="2"/>
  <c r="AB161" i="2" s="1"/>
  <c r="AA162" i="2"/>
  <c r="AB162" i="2" s="1"/>
  <c r="AA163" i="2"/>
  <c r="AB163" i="2" s="1"/>
  <c r="AA164" i="2"/>
  <c r="AB164" i="2" s="1"/>
  <c r="AA165" i="2"/>
  <c r="AB165" i="2" s="1"/>
  <c r="AA166" i="2"/>
  <c r="AB166" i="2" s="1"/>
  <c r="AA167" i="2"/>
  <c r="AB167" i="2" s="1"/>
  <c r="AA168" i="2"/>
  <c r="AB168" i="2" s="1"/>
  <c r="AA169" i="2"/>
  <c r="AB169" i="2" s="1"/>
  <c r="AA170" i="2"/>
  <c r="AB170" i="2" s="1"/>
  <c r="AA171" i="2"/>
  <c r="AB171" i="2" s="1"/>
  <c r="AA172" i="2"/>
  <c r="AB172" i="2" s="1"/>
  <c r="E26" i="3" l="1"/>
  <c r="E25" i="3" l="1"/>
  <c r="M25" i="3" s="1"/>
  <c r="E23" i="3"/>
  <c r="M23" i="3" s="1"/>
  <c r="E27" i="3"/>
  <c r="M27" i="3" s="1"/>
  <c r="E24" i="3"/>
  <c r="M24" i="3" s="1"/>
  <c r="D37" i="3" l="1"/>
  <c r="H40" i="2" l="1"/>
  <c r="G40" i="2"/>
  <c r="H38" i="2"/>
  <c r="G38" i="2"/>
  <c r="H37" i="2"/>
  <c r="G37" i="2"/>
  <c r="H36" i="2"/>
  <c r="G36" i="2"/>
  <c r="P65" i="5" l="1"/>
  <c r="P68" i="5"/>
  <c r="P69" i="5"/>
  <c r="P70" i="5"/>
  <c r="P71" i="5"/>
  <c r="P72" i="5"/>
  <c r="P73" i="5"/>
  <c r="P74" i="5"/>
  <c r="P75" i="5"/>
  <c r="P76" i="5"/>
  <c r="P77" i="5"/>
  <c r="P78" i="5"/>
  <c r="P79" i="5"/>
  <c r="P80" i="5"/>
  <c r="P81" i="5"/>
  <c r="P82" i="5"/>
  <c r="P83" i="5"/>
  <c r="P84" i="5"/>
  <c r="P85" i="5"/>
  <c r="P86" i="5"/>
  <c r="P87"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53" i="3" l="1"/>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52" i="3"/>
  <c r="H43" i="2" l="1"/>
  <c r="H45" i="2"/>
  <c r="H46" i="2"/>
  <c r="H34" i="4"/>
  <c r="H20" i="4" s="1"/>
  <c r="H29" i="6"/>
  <c r="H24" i="6" s="1"/>
  <c r="H21" i="6"/>
  <c r="H22" i="6"/>
  <c r="H23" i="6"/>
  <c r="H21" i="5"/>
  <c r="H22" i="5"/>
  <c r="H23" i="5"/>
  <c r="H22" i="7"/>
  <c r="H23" i="7"/>
  <c r="H24" i="7"/>
  <c r="H29" i="3"/>
  <c r="H30" i="3"/>
  <c r="H22" i="3"/>
  <c r="H23" i="3"/>
  <c r="H24" i="3"/>
  <c r="H25" i="3"/>
  <c r="H26" i="3"/>
  <c r="H27" i="3"/>
  <c r="G22" i="3"/>
  <c r="G23" i="3"/>
  <c r="G24" i="3"/>
  <c r="G25" i="3"/>
  <c r="G26" i="3"/>
  <c r="G27" i="3"/>
  <c r="G21" i="3"/>
  <c r="H21" i="3"/>
  <c r="G30" i="8"/>
  <c r="K30" i="12" s="1"/>
  <c r="G31" i="8"/>
  <c r="G32" i="8"/>
  <c r="G33" i="8"/>
  <c r="G34" i="8"/>
  <c r="G35" i="8"/>
  <c r="G36" i="8"/>
  <c r="G73" i="8"/>
  <c r="G72" i="8"/>
  <c r="G29" i="8"/>
  <c r="K29" i="12" s="1"/>
  <c r="H20" i="3" l="1"/>
  <c r="G45" i="2"/>
  <c r="G43" i="2"/>
  <c r="G29" i="3"/>
  <c r="G30" i="3"/>
  <c r="G46" i="2"/>
  <c r="G47" i="2" s="1"/>
  <c r="G29" i="6"/>
  <c r="G24" i="7"/>
  <c r="G23" i="7"/>
  <c r="G22" i="7"/>
  <c r="H21" i="7"/>
  <c r="G21" i="7"/>
  <c r="G23" i="6"/>
  <c r="G22" i="6"/>
  <c r="G21" i="6"/>
  <c r="H20" i="6"/>
  <c r="H19" i="6" s="1"/>
  <c r="G20" i="6"/>
  <c r="G23" i="5"/>
  <c r="G22" i="5"/>
  <c r="G21" i="5"/>
  <c r="H20" i="5"/>
  <c r="H19" i="5" s="1"/>
  <c r="G20" i="5"/>
  <c r="G31" i="3" l="1"/>
  <c r="G35" i="6"/>
  <c r="G36" i="6" s="1"/>
  <c r="G37" i="6" s="1"/>
  <c r="G37" i="7"/>
  <c r="G38" i="7" s="1"/>
  <c r="G39" i="7" s="1"/>
  <c r="G35" i="5"/>
  <c r="G36" i="5" s="1"/>
  <c r="G37" i="5" s="1"/>
  <c r="H20" i="7"/>
  <c r="G36" i="4"/>
  <c r="G34" i="4"/>
  <c r="G33" i="4"/>
  <c r="G32" i="4"/>
  <c r="G31" i="4"/>
  <c r="G30" i="4"/>
  <c r="G29" i="4"/>
  <c r="G28" i="4"/>
  <c r="G27" i="4"/>
  <c r="G26" i="4"/>
  <c r="G25" i="4"/>
  <c r="G24" i="4"/>
  <c r="G23" i="4"/>
  <c r="G22" i="4"/>
  <c r="G21" i="4"/>
  <c r="G37" i="4" l="1"/>
  <c r="G38" i="4" s="1"/>
  <c r="G39" i="4" s="1"/>
  <c r="H28" i="3" l="1"/>
  <c r="G32" i="3" l="1"/>
  <c r="G33" i="3" s="1"/>
  <c r="H35" i="2" l="1"/>
  <c r="G48" i="2" l="1"/>
  <c r="G49" i="2" s="1"/>
  <c r="G61" i="8"/>
  <c r="I61" i="8"/>
  <c r="G62" i="8"/>
  <c r="I62" i="8"/>
  <c r="G63" i="8"/>
  <c r="I63" i="8"/>
  <c r="G64" i="8"/>
  <c r="I68" i="8"/>
  <c r="G68" i="8"/>
  <c r="I64" i="8"/>
  <c r="G66" i="8"/>
  <c r="G65" i="8"/>
  <c r="I65" i="8"/>
  <c r="G67" i="8"/>
  <c r="I67" i="8"/>
  <c r="G69" i="8"/>
  <c r="I69" i="8"/>
  <c r="K32" i="12" a="1"/>
  <c r="K32" i="12" l="1"/>
  <c r="K56" i="12" s="1"/>
  <c r="K57" i="12" s="1"/>
  <c r="K58" i="12" s="1"/>
  <c r="I70" i="8"/>
  <c r="G70" i="8"/>
  <c r="G77" i="8" s="1"/>
  <c r="G78" i="8" s="1"/>
  <c r="G79" i="8" s="1"/>
  <c r="I71" i="8" l="1"/>
  <c r="D83" i="8" s="1"/>
  <c r="H62" i="12" s="1"/>
  <c r="G64" i="14"/>
  <c r="G65"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Lenovo</author>
    <author>Dell</author>
  </authors>
  <commentList>
    <comment ref="G11" authorId="0" shapeId="0" xr:uid="{41CCDA42-D566-428F-A3F6-E9EC9E1D5A2C}">
      <text>
        <r>
          <rPr>
            <b/>
            <sz val="9"/>
            <color indexed="81"/>
            <rFont val="Segoe UI"/>
            <family val="2"/>
          </rPr>
          <t>Lenovo:</t>
        </r>
        <r>
          <rPr>
            <sz val="9"/>
            <color indexed="81"/>
            <rFont val="Segoe UI"/>
            <family val="2"/>
          </rPr>
          <t xml:space="preserve">
se completeaza automat</t>
        </r>
      </text>
    </comment>
    <comment ref="G15" authorId="0" shapeId="0" xr:uid="{64A86AA4-FD1F-4481-AE36-1F2E7D576183}">
      <text>
        <r>
          <rPr>
            <b/>
            <sz val="9"/>
            <color indexed="81"/>
            <rFont val="Segoe UI"/>
            <family val="2"/>
          </rPr>
          <t>Lenovo:</t>
        </r>
        <r>
          <rPr>
            <sz val="9"/>
            <color indexed="81"/>
            <rFont val="Segoe UI"/>
            <family val="2"/>
          </rPr>
          <t xml:space="preserve">
Se completeaza lungimea totala a jgheabului care este continuu cu burlanele</t>
        </r>
      </text>
    </comment>
    <comment ref="G16" authorId="0" shapeId="0" xr:uid="{233BBA62-9F40-406A-8DF1-E9E25733BEE5}">
      <text>
        <r>
          <rPr>
            <b/>
            <sz val="9"/>
            <color indexed="81"/>
            <rFont val="Segoe UI"/>
            <family val="2"/>
          </rPr>
          <t>Lenovo:</t>
        </r>
        <r>
          <rPr>
            <sz val="9"/>
            <color indexed="81"/>
            <rFont val="Segoe UI"/>
            <family val="2"/>
          </rPr>
          <t xml:space="preserve">
Se completeaza lungimea burlanului sau a tuturor burlanelor care sunt continue cu jgheabul</t>
        </r>
      </text>
    </comment>
    <comment ref="E29" authorId="1" shapeId="0" xr:uid="{7FF5AED8-73BA-40A1-84D5-38BC13EEE692}">
      <text>
        <r>
          <rPr>
            <b/>
            <sz val="9"/>
            <color indexed="81"/>
            <rFont val="Tahoma"/>
            <family val="2"/>
          </rPr>
          <t>Dell:</t>
        </r>
        <r>
          <rPr>
            <sz val="9"/>
            <color indexed="81"/>
            <rFont val="Tahoma"/>
            <family val="2"/>
          </rPr>
          <t xml:space="preserve">
Se completeaza optional in functie de aplicatie</t>
        </r>
      </text>
    </comment>
    <comment ref="E30" authorId="1" shapeId="0" xr:uid="{5631B449-DDF1-408B-98C0-8583EC5681BD}">
      <text>
        <r>
          <rPr>
            <b/>
            <sz val="9"/>
            <color indexed="81"/>
            <rFont val="Tahoma"/>
            <family val="2"/>
          </rPr>
          <t>Dell:</t>
        </r>
        <r>
          <rPr>
            <sz val="9"/>
            <color indexed="81"/>
            <rFont val="Tahoma"/>
            <family val="2"/>
          </rPr>
          <t xml:space="preserve">
Se completeaza optional in functie de aplicatie</t>
        </r>
      </text>
    </comment>
    <comment ref="A32" authorId="0" shapeId="0" xr:uid="{7CE96067-45BA-44AC-BD89-C1416C195CCE}">
      <text>
        <r>
          <rPr>
            <b/>
            <sz val="9"/>
            <color indexed="81"/>
            <rFont val="Segoe UI"/>
            <family val="2"/>
          </rPr>
          <t>Lenovo:</t>
        </r>
        <r>
          <rPr>
            <sz val="9"/>
            <color indexed="81"/>
            <rFont val="Segoe UI"/>
            <family val="2"/>
          </rPr>
          <t xml:space="preserve">
se completeaza manual
</t>
        </r>
      </text>
    </comment>
    <comment ref="D37" authorId="0" shapeId="0" xr:uid="{2A034004-1FE7-4472-AF75-09E159C4B839}">
      <text>
        <r>
          <rPr>
            <b/>
            <sz val="9"/>
            <color indexed="81"/>
            <rFont val="Segoe UI"/>
            <family val="2"/>
          </rPr>
          <t>Lenovo:</t>
        </r>
        <r>
          <rPr>
            <sz val="9"/>
            <color indexed="81"/>
            <rFont val="Segoe UI"/>
            <family val="2"/>
          </rPr>
          <t xml:space="preserve">
se completeaza automat.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A19" authorId="0" shapeId="0" xr:uid="{8187C2B1-C8D1-4D1D-9651-017C182D404B}">
      <text>
        <r>
          <rPr>
            <sz val="9"/>
            <color indexed="81"/>
            <rFont val="Segoe UI"/>
            <family val="2"/>
          </rPr>
          <t xml:space="preserve">se completeaza cu </t>
        </r>
        <r>
          <rPr>
            <b/>
            <sz val="9"/>
            <color indexed="81"/>
            <rFont val="Segoe UI"/>
            <family val="2"/>
          </rPr>
          <t>x</t>
        </r>
        <r>
          <rPr>
            <sz val="9"/>
            <color indexed="81"/>
            <rFont val="Segoe UI"/>
            <family val="2"/>
          </rPr>
          <t xml:space="preserve"> in functie de material</t>
        </r>
      </text>
    </comment>
    <comment ref="A20" authorId="0" shapeId="0" xr:uid="{51DA71F5-B957-4C94-A43F-C2CF75003BBE}">
      <text>
        <r>
          <rPr>
            <sz val="9"/>
            <color indexed="81"/>
            <rFont val="Segoe UI"/>
            <family val="2"/>
          </rPr>
          <t xml:space="preserve">se completeaza cu </t>
        </r>
        <r>
          <rPr>
            <b/>
            <sz val="9"/>
            <color indexed="81"/>
            <rFont val="Segoe UI"/>
            <family val="2"/>
          </rPr>
          <t>x</t>
        </r>
        <r>
          <rPr>
            <sz val="9"/>
            <color indexed="81"/>
            <rFont val="Segoe UI"/>
            <family val="2"/>
          </rPr>
          <t xml:space="preserve"> in functie de material</t>
        </r>
      </text>
    </comment>
    <comment ref="E20" authorId="0" shapeId="0" xr:uid="{443BD4B6-4B2E-49D9-9578-4BCF5C0E841A}">
      <text>
        <r>
          <rPr>
            <sz val="9"/>
            <color indexed="81"/>
            <rFont val="Segoe UI"/>
            <family val="2"/>
          </rPr>
          <t>se completeaza manual cu valoarea dorita 20,30 sau 50mm</t>
        </r>
      </text>
    </comment>
    <comment ref="F20" authorId="0" shapeId="0" xr:uid="{1D700616-BD22-4079-B185-58211A4348DE}">
      <text>
        <r>
          <rPr>
            <sz val="9"/>
            <color indexed="81"/>
            <rFont val="Segoe UI"/>
            <family val="2"/>
          </rPr>
          <t>se completeaza cu valoarea dorita-20/-25 sau -35 grade celsius</t>
        </r>
      </text>
    </comment>
    <comment ref="G20" authorId="0" shapeId="0" xr:uid="{C31E7DCC-8AC2-4AEF-B7B3-53BA83F33DAB}">
      <text>
        <r>
          <rPr>
            <sz val="9"/>
            <color indexed="81"/>
            <rFont val="Segoe UI"/>
            <family val="2"/>
          </rPr>
          <t>se completeaza manual</t>
        </r>
      </text>
    </comment>
    <comment ref="H20" authorId="0" shapeId="0" xr:uid="{CEE31558-86C9-4AB7-A304-887B71FDE1D8}">
      <text>
        <r>
          <rPr>
            <sz val="9"/>
            <color indexed="81"/>
            <rFont val="Segoe UI"/>
            <family val="2"/>
          </rPr>
          <t>se completeaza manual  cu  una din valoarea  corespunzatoare  din tabel a diametrului tevii</t>
        </r>
      </text>
    </comment>
    <comment ref="B23" authorId="0" shapeId="0" xr:uid="{ABAF9210-108D-47FC-8F30-0C79E6D347BE}">
      <text>
        <r>
          <rPr>
            <sz val="9"/>
            <color indexed="81"/>
            <rFont val="Segoe UI"/>
            <family val="2"/>
          </rPr>
          <t>se completeaza cu</t>
        </r>
        <r>
          <rPr>
            <b/>
            <sz val="9"/>
            <color indexed="81"/>
            <rFont val="Segoe UI"/>
            <family val="2"/>
          </rPr>
          <t xml:space="preserve"> x </t>
        </r>
        <r>
          <rPr>
            <sz val="9"/>
            <color indexed="81"/>
            <rFont val="Segoe UI"/>
            <family val="2"/>
          </rPr>
          <t>in functie de cablul ales.</t>
        </r>
      </text>
    </comment>
    <comment ref="D23" authorId="0" shapeId="0" xr:uid="{C86D667E-D0A0-4230-AD44-576DCBCC7220}">
      <text>
        <r>
          <rPr>
            <sz val="9"/>
            <color indexed="81"/>
            <rFont val="Segoe UI"/>
            <family val="2"/>
          </rPr>
          <t xml:space="preserve">se completeaza cu </t>
        </r>
        <r>
          <rPr>
            <b/>
            <sz val="9"/>
            <color indexed="81"/>
            <rFont val="Segoe UI"/>
            <family val="2"/>
          </rPr>
          <t>x</t>
        </r>
        <r>
          <rPr>
            <sz val="9"/>
            <color indexed="81"/>
            <rFont val="Segoe UI"/>
            <family val="2"/>
          </rPr>
          <t xml:space="preserve"> in functie de cablul ales.</t>
        </r>
      </text>
    </comment>
    <comment ref="F23" authorId="0" shapeId="0" xr:uid="{7BC8A1B4-6CCE-4E29-B846-237327588C2C}">
      <text>
        <r>
          <rPr>
            <sz val="9"/>
            <color indexed="81"/>
            <rFont val="Segoe UI"/>
            <family val="2"/>
          </rPr>
          <t xml:space="preserve">se completeaza cu </t>
        </r>
        <r>
          <rPr>
            <b/>
            <sz val="9"/>
            <color indexed="81"/>
            <rFont val="Segoe UI"/>
            <family val="2"/>
          </rPr>
          <t>x</t>
        </r>
        <r>
          <rPr>
            <sz val="9"/>
            <color indexed="81"/>
            <rFont val="Segoe UI"/>
            <family val="2"/>
          </rPr>
          <t xml:space="preserve"> in functie de cablul ales.</t>
        </r>
      </text>
    </comment>
    <comment ref="H23" authorId="0" shapeId="0" xr:uid="{394CACD0-37A6-418A-8FB3-21BE982EC677}">
      <text>
        <r>
          <rPr>
            <sz val="9"/>
            <color indexed="81"/>
            <rFont val="Segoe UI"/>
            <family val="2"/>
          </rPr>
          <t xml:space="preserve">se completeaza cu </t>
        </r>
        <r>
          <rPr>
            <b/>
            <sz val="9"/>
            <color indexed="81"/>
            <rFont val="Segoe UI"/>
            <family val="2"/>
          </rPr>
          <t>x</t>
        </r>
        <r>
          <rPr>
            <sz val="9"/>
            <color indexed="81"/>
            <rFont val="Segoe UI"/>
            <family val="2"/>
          </rPr>
          <t xml:space="preserve"> in functie de cablul ales.</t>
        </r>
      </text>
    </comment>
    <comment ref="J23" authorId="0" shapeId="0" xr:uid="{5D0DC853-1DDD-4848-AF9C-3019AA78C1C8}">
      <text>
        <r>
          <rPr>
            <sz val="9"/>
            <color indexed="81"/>
            <rFont val="Segoe UI"/>
            <family val="2"/>
          </rPr>
          <t>se completeaza cu</t>
        </r>
        <r>
          <rPr>
            <b/>
            <sz val="9"/>
            <color indexed="81"/>
            <rFont val="Segoe UI"/>
            <family val="2"/>
          </rPr>
          <t xml:space="preserve"> x </t>
        </r>
        <r>
          <rPr>
            <sz val="9"/>
            <color indexed="81"/>
            <rFont val="Segoe UI"/>
            <family val="2"/>
          </rPr>
          <t>in functie de cablul ales.</t>
        </r>
      </text>
    </comment>
    <comment ref="H62" authorId="0" shapeId="0" xr:uid="{237485F4-5585-4E0D-A0E9-962525FE5E69}">
      <text>
        <r>
          <rPr>
            <sz val="9"/>
            <color indexed="81"/>
            <rFont val="Segoe UI"/>
            <family val="2"/>
          </rPr>
          <t>se completeaza automat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E153" authorId="0" shapeId="0" xr:uid="{26EC152F-F06C-4FAD-AE33-F9FFB2CA6F05}">
      <text>
        <r>
          <rPr>
            <b/>
            <sz val="9"/>
            <color indexed="81"/>
            <rFont val="Tahoma"/>
            <family val="2"/>
          </rPr>
          <t>Dell:</t>
        </r>
        <r>
          <rPr>
            <sz val="9"/>
            <color indexed="81"/>
            <rFont val="Tahoma"/>
            <family val="2"/>
          </rPr>
          <t xml:space="preserve">
Daca clientul are izolatia lui de polistiren extrudat se va sterge Isorolul si se lasa tipul de folie reflectorizanta in functie de suprafata. Se poate elimina banda de montaj si cablul se prinde de plasa de armare cu bride de plastic.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Lenovo</author>
    <author>Dell</author>
  </authors>
  <commentList>
    <comment ref="E11" authorId="0" shapeId="0" xr:uid="{6B20449C-41B8-4402-91D0-CA98F3A86417}">
      <text>
        <r>
          <rPr>
            <b/>
            <sz val="9"/>
            <color indexed="81"/>
            <rFont val="Segoe UI"/>
            <family val="2"/>
          </rPr>
          <t>se completeaza cu x in functie de alegere</t>
        </r>
        <r>
          <rPr>
            <sz val="9"/>
            <color indexed="81"/>
            <rFont val="Segoe UI"/>
            <family val="2"/>
          </rPr>
          <t xml:space="preserve">
</t>
        </r>
      </text>
    </comment>
    <comment ref="E12" authorId="1" shapeId="0" xr:uid="{95440736-5F1C-40CF-9BCD-4F42613D7D10}">
      <text>
        <r>
          <rPr>
            <b/>
            <sz val="9"/>
            <color indexed="81"/>
            <rFont val="Tahoma"/>
            <family val="2"/>
          </rPr>
          <t>se completeaza cu x in functie de alegere</t>
        </r>
        <r>
          <rPr>
            <sz val="9"/>
            <color indexed="81"/>
            <rFont val="Tahoma"/>
            <family val="2"/>
          </rPr>
          <t xml:space="preserve">
</t>
        </r>
      </text>
    </comment>
    <comment ref="E13" authorId="1" shapeId="0" xr:uid="{BAD5A6E4-97A7-4D6C-8716-DE951EFD4DC6}">
      <text>
        <r>
          <rPr>
            <b/>
            <sz val="9"/>
            <color indexed="81"/>
            <rFont val="Tahoma"/>
            <family val="2"/>
          </rPr>
          <t>se completeaza cu x in functie de alegere</t>
        </r>
        <r>
          <rPr>
            <sz val="9"/>
            <color indexed="81"/>
            <rFont val="Tahoma"/>
            <family val="2"/>
          </rPr>
          <t xml:space="preserve">
</t>
        </r>
      </text>
    </comment>
    <comment ref="D15" authorId="1" shapeId="0" xr:uid="{719B237E-7F04-4453-BE95-56D780E96038}">
      <text>
        <r>
          <rPr>
            <b/>
            <sz val="9"/>
            <color indexed="81"/>
            <rFont val="Tahoma"/>
            <family val="2"/>
          </rPr>
          <t>Dell:</t>
        </r>
        <r>
          <rPr>
            <sz val="9"/>
            <color indexed="81"/>
            <rFont val="Tahoma"/>
            <family val="2"/>
          </rPr>
          <t xml:space="preserve">
LUNGIME MAXIMA TRONSON = L jgheab+ L burlan</t>
        </r>
      </text>
    </comment>
    <comment ref="G15" authorId="1" shapeId="0" xr:uid="{35B4A8AF-8379-44C6-AD2C-EDD3E2DE387D}">
      <text>
        <r>
          <rPr>
            <b/>
            <sz val="9"/>
            <color indexed="81"/>
            <rFont val="Tahoma"/>
            <family val="2"/>
          </rPr>
          <t>Dell:</t>
        </r>
        <r>
          <rPr>
            <sz val="9"/>
            <color indexed="81"/>
            <rFont val="Tahoma"/>
            <family val="2"/>
          </rPr>
          <t xml:space="preserve">
Se completeaza lungimea continua de jgheab chiar daca are schimbari de directie. La cablui de 20W/ml lungimea continua de jgheab + burlan poate fi de 160ml iar la cablul de 30W/ml de 140ml.</t>
        </r>
      </text>
    </comment>
    <comment ref="G16" authorId="0" shapeId="0" xr:uid="{10DB28FA-4FC0-4A20-ADED-9BE408C0C8AB}">
      <text>
        <r>
          <rPr>
            <sz val="9"/>
            <color indexed="81"/>
            <rFont val="Segoe UI"/>
            <family val="2"/>
          </rPr>
          <t xml:space="preserve">Se completeaza lungimea de burlane care sunt comune cu jgheabul. La cablu de 20W/ml lungimea continua de jgheab + burlan poate fi de 160ml iar la cablul de 3W/ml de 140ml.
</t>
        </r>
      </text>
    </comment>
    <comment ref="E58" authorId="1" shapeId="0" xr:uid="{3B65BA44-C3FE-4B14-8E1E-BDBD3DFA799F}">
      <text>
        <r>
          <rPr>
            <b/>
            <sz val="9"/>
            <color indexed="81"/>
            <rFont val="Tahoma"/>
            <family val="2"/>
          </rPr>
          <t>Dell:</t>
        </r>
        <r>
          <rPr>
            <sz val="9"/>
            <color indexed="81"/>
            <rFont val="Tahoma"/>
            <family val="2"/>
          </rPr>
          <t xml:space="preserve">
Varianta cu pret mai mic la HCC02+PHTE2+PHTE3. Se sterge in functie de tipul de client.</t>
        </r>
      </text>
    </comment>
    <comment ref="E59" authorId="1" shapeId="0" xr:uid="{FEDAA5FF-AA4A-4078-B0A3-7FA17C69BA2B}">
      <text>
        <r>
          <rPr>
            <b/>
            <sz val="9"/>
            <color indexed="81"/>
            <rFont val="Tahoma"/>
            <family val="2"/>
          </rPr>
          <t>Dell:</t>
        </r>
        <r>
          <rPr>
            <sz val="9"/>
            <color indexed="81"/>
            <rFont val="Tahoma"/>
            <family val="2"/>
          </rPr>
          <t xml:space="preserve">
Se completeaza automat. Se sterge daca nu se oferteaza cablu autoregulator "X".</t>
        </r>
      </text>
    </comment>
    <comment ref="E61" authorId="1" shapeId="0" xr:uid="{BC6EFA73-486A-4E66-BCD5-1503F7A970D3}">
      <text>
        <r>
          <rPr>
            <b/>
            <sz val="9"/>
            <color indexed="81"/>
            <rFont val="Tahoma"/>
            <family val="2"/>
          </rPr>
          <t>Se calculeaza necesarul de banda si daca este mai putin de 1 rola se comercializeaza 1 rola intreaga</t>
        </r>
      </text>
    </comment>
    <comment ref="E62" authorId="1" shapeId="0" xr:uid="{92E22F33-1E7A-45A0-928F-C01AB077B45A}">
      <text>
        <r>
          <rPr>
            <b/>
            <sz val="9"/>
            <color indexed="81"/>
            <rFont val="Tahoma"/>
            <family val="2"/>
          </rPr>
          <t>Dell:</t>
        </r>
        <r>
          <rPr>
            <sz val="9"/>
            <color indexed="81"/>
            <rFont val="Tahoma"/>
            <family val="2"/>
          </rPr>
          <t xml:space="preserve">
Se completeaza in functie de aplicatie.</t>
        </r>
      </text>
    </comment>
    <comment ref="A64" authorId="0" shapeId="0" xr:uid="{BE8703CC-CC2C-4BDE-AB47-034D4D079F3B}">
      <text>
        <r>
          <rPr>
            <b/>
            <sz val="9"/>
            <color indexed="81"/>
            <rFont val="Segoe UI"/>
            <family val="2"/>
          </rPr>
          <t>Lenovo:</t>
        </r>
        <r>
          <rPr>
            <sz val="9"/>
            <color indexed="81"/>
            <rFont val="Segoe UI"/>
            <family val="2"/>
          </rPr>
          <t xml:space="preserve">
se completeaza manual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Lenovo</author>
    <author>Dell</author>
  </authors>
  <commentList>
    <comment ref="G10" authorId="0" shapeId="0" xr:uid="{45A5D2AB-DA99-473F-94E8-480FA941598E}">
      <text>
        <r>
          <rPr>
            <b/>
            <sz val="9"/>
            <color indexed="81"/>
            <rFont val="Segoe UI"/>
            <family val="2"/>
          </rPr>
          <t>Lenovo:</t>
        </r>
        <r>
          <rPr>
            <sz val="9"/>
            <color indexed="81"/>
            <rFont val="Segoe UI"/>
            <family val="2"/>
          </rPr>
          <t xml:space="preserve">
Se completeaza manual cu valori intre 1 si 114.5. daca se depaseste valoarea de 114.5 se va face rosu</t>
        </r>
      </text>
    </comment>
    <comment ref="D11" authorId="0" shapeId="0" xr:uid="{291711D2-124F-40CA-8DF1-E4818B288947}">
      <text>
        <r>
          <rPr>
            <b/>
            <sz val="9"/>
            <color indexed="81"/>
            <rFont val="Segoe UI"/>
            <family val="2"/>
          </rPr>
          <t>Lenovo:</t>
        </r>
        <r>
          <rPr>
            <sz val="9"/>
            <color indexed="81"/>
            <rFont val="Segoe UI"/>
            <family val="2"/>
          </rPr>
          <t xml:space="preserve">
se completeaza cu X in functie de optiune</t>
        </r>
      </text>
    </comment>
    <comment ref="D12" authorId="0" shapeId="0" xr:uid="{017738DC-441C-495E-B6AF-824269A93DF2}">
      <text>
        <r>
          <rPr>
            <b/>
            <sz val="9"/>
            <color indexed="81"/>
            <rFont val="Segoe UI"/>
            <family val="2"/>
          </rPr>
          <t>Lenovo:</t>
        </r>
        <r>
          <rPr>
            <sz val="9"/>
            <color indexed="81"/>
            <rFont val="Segoe UI"/>
            <family val="2"/>
          </rPr>
          <t xml:space="preserve">
se completeaza cu X in functie de optiune</t>
        </r>
      </text>
    </comment>
    <comment ref="D13" authorId="0" shapeId="0" xr:uid="{44EB2867-2B19-43D5-AB44-D15936CA4623}">
      <text>
        <r>
          <rPr>
            <b/>
            <sz val="9"/>
            <color indexed="81"/>
            <rFont val="Segoe UI"/>
            <family val="2"/>
          </rPr>
          <t>Lenovo:</t>
        </r>
        <r>
          <rPr>
            <sz val="9"/>
            <color indexed="81"/>
            <rFont val="Segoe UI"/>
            <family val="2"/>
          </rPr>
          <t xml:space="preserve">
se completeaza cu X in functie de optiune</t>
        </r>
      </text>
    </comment>
    <comment ref="E36" authorId="1" shapeId="0" xr:uid="{ACBFA084-2096-4283-823D-9FCF9EE8F41F}">
      <text>
        <r>
          <rPr>
            <b/>
            <sz val="9"/>
            <color indexed="81"/>
            <rFont val="Tahoma"/>
            <family val="2"/>
          </rPr>
          <t>Dell:</t>
        </r>
        <r>
          <rPr>
            <sz val="9"/>
            <color indexed="81"/>
            <rFont val="Tahoma"/>
            <family val="2"/>
          </rPr>
          <t xml:space="preserve">
Se completeaza automat in functie de tipul de control dorit.</t>
        </r>
      </text>
    </comment>
    <comment ref="E37" authorId="1" shapeId="0" xr:uid="{81A2A436-0576-44E3-8206-78111576EB53}">
      <text>
        <r>
          <rPr>
            <b/>
            <sz val="9"/>
            <color indexed="81"/>
            <rFont val="Tahoma"/>
            <family val="2"/>
          </rPr>
          <t>Dell:</t>
        </r>
        <r>
          <rPr>
            <sz val="9"/>
            <color indexed="81"/>
            <rFont val="Tahoma"/>
            <family val="2"/>
          </rPr>
          <t xml:space="preserve">
Se completeaza automat in functie de tipul de control dorit.</t>
        </r>
      </text>
    </comment>
    <comment ref="E38" authorId="1" shapeId="0" xr:uid="{E6898B25-F21F-42EE-AE93-C80D5E856425}">
      <text>
        <r>
          <rPr>
            <b/>
            <sz val="9"/>
            <color indexed="81"/>
            <rFont val="Tahoma"/>
            <family val="2"/>
          </rPr>
          <t>Dell:</t>
        </r>
        <r>
          <rPr>
            <sz val="9"/>
            <color indexed="81"/>
            <rFont val="Tahoma"/>
            <family val="2"/>
          </rPr>
          <t xml:space="preserve">
Se completeaza automat in functie de tipul de control dorit.</t>
        </r>
      </text>
    </comment>
    <comment ref="E39" authorId="1" shapeId="0" xr:uid="{A09E9930-678F-4D07-9D91-261811C0CD65}">
      <text>
        <r>
          <rPr>
            <b/>
            <sz val="9"/>
            <color indexed="81"/>
            <rFont val="Tahoma"/>
            <family val="2"/>
          </rPr>
          <t>Dell:</t>
        </r>
        <r>
          <rPr>
            <sz val="9"/>
            <color indexed="81"/>
            <rFont val="Tahoma"/>
            <family val="2"/>
          </rPr>
          <t xml:space="preserve">
Varianta cu pret mai mic la HCC02+PHTE1. Se sterge in functie de tipul de client.</t>
        </r>
      </text>
    </comment>
    <comment ref="E40" authorId="1" shapeId="0" xr:uid="{DC17BC4A-9E01-4A09-9847-56D7B92C32DA}">
      <text>
        <r>
          <rPr>
            <b/>
            <sz val="9"/>
            <color indexed="81"/>
            <rFont val="Tahoma"/>
            <family val="2"/>
          </rPr>
          <t>Dell:</t>
        </r>
        <r>
          <rPr>
            <sz val="9"/>
            <color indexed="81"/>
            <rFont val="Tahoma"/>
            <family val="2"/>
          </rPr>
          <t xml:space="preserve">
Se completeaza automat in functie de tipul de control dorit.</t>
        </r>
      </text>
    </comment>
    <comment ref="A48" authorId="0" shapeId="0" xr:uid="{ED5C01EA-C9E0-430D-BFEB-3EF06AA6906E}">
      <text>
        <r>
          <rPr>
            <b/>
            <sz val="9"/>
            <color indexed="81"/>
            <rFont val="Segoe UI"/>
            <family val="2"/>
          </rPr>
          <t>Lenovo:</t>
        </r>
        <r>
          <rPr>
            <sz val="9"/>
            <color indexed="81"/>
            <rFont val="Segoe UI"/>
            <family val="2"/>
          </rPr>
          <t xml:space="preserve">
se completeaza manual</t>
        </r>
      </text>
    </comment>
    <comment ref="D53" authorId="0" shapeId="0" xr:uid="{FA39CF4D-D0DE-4DF7-BEAA-21C10630CEB6}">
      <text>
        <r>
          <rPr>
            <b/>
            <sz val="9"/>
            <color indexed="81"/>
            <rFont val="Segoe UI"/>
            <family val="2"/>
          </rPr>
          <t>Lenovo:</t>
        </r>
        <r>
          <rPr>
            <sz val="9"/>
            <color indexed="81"/>
            <rFont val="Segoe UI"/>
            <family val="2"/>
          </rPr>
          <t xml:space="preserve">
se completeaza automat</t>
        </r>
      </text>
    </comment>
    <comment ref="K68" authorId="0" shapeId="0" xr:uid="{6A0D7B61-DDC3-4B40-AC96-842885B996AE}">
      <text>
        <r>
          <rPr>
            <b/>
            <sz val="9"/>
            <color indexed="81"/>
            <rFont val="Segoe UI"/>
            <family val="2"/>
          </rPr>
          <t>Lenovo:</t>
        </r>
        <r>
          <rPr>
            <sz val="9"/>
            <color indexed="81"/>
            <rFont val="Segoe UI"/>
            <family val="2"/>
          </rPr>
          <t xml:space="preserve">
Se trece direct sau se calculeaza prin suma suprafata sau suprafetele incaperilor</t>
        </r>
      </text>
    </comment>
    <comment ref="V68" authorId="0" shapeId="0" xr:uid="{8AE42C5A-B050-4621-9C0B-8BFB343E2272}">
      <text>
        <r>
          <rPr>
            <b/>
            <sz val="9"/>
            <color indexed="81"/>
            <rFont val="Segoe UI"/>
            <family val="2"/>
          </rPr>
          <t>Lenovo:</t>
        </r>
        <r>
          <rPr>
            <sz val="9"/>
            <color indexed="81"/>
            <rFont val="Segoe UI"/>
            <family val="2"/>
          </rPr>
          <t xml:space="preserve">
Se trece direct sau se calculeaza prin suma suprafata sau suprafetele incaperilor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Lenovo</author>
    <author>Dell</author>
  </authors>
  <commentList>
    <comment ref="G10" authorId="0" shapeId="0" xr:uid="{6811DA36-E90F-4F1C-805E-EC0871F02EC3}">
      <text>
        <r>
          <rPr>
            <b/>
            <sz val="9"/>
            <color indexed="81"/>
            <rFont val="Segoe UI"/>
            <family val="2"/>
          </rPr>
          <t>Lenovo:</t>
        </r>
        <r>
          <rPr>
            <sz val="9"/>
            <color indexed="81"/>
            <rFont val="Segoe UI"/>
            <family val="2"/>
          </rPr>
          <t xml:space="preserve">
Se completeaza manual cu suprafata de degivrat intre 2 si 102mp. Peste 102mp celula se face rosie.</t>
        </r>
      </text>
    </comment>
    <comment ref="D11" authorId="0" shapeId="0" xr:uid="{7DB75D05-39C9-49A2-98F6-D20BD04B4131}">
      <text>
        <r>
          <rPr>
            <b/>
            <sz val="9"/>
            <color indexed="81"/>
            <rFont val="Segoe UI"/>
            <family val="2"/>
          </rPr>
          <t>Lenovo:</t>
        </r>
        <r>
          <rPr>
            <sz val="9"/>
            <color indexed="81"/>
            <rFont val="Segoe UI"/>
            <family val="2"/>
          </rPr>
          <t xml:space="preserve">
se completeaza cu X in functie de optiune</t>
        </r>
      </text>
    </comment>
    <comment ref="D12" authorId="0" shapeId="0" xr:uid="{A13DFB8E-B2CE-4531-B72C-5C6FD4D1E62B}">
      <text>
        <r>
          <rPr>
            <b/>
            <sz val="9"/>
            <color indexed="81"/>
            <rFont val="Segoe UI"/>
            <family val="2"/>
          </rPr>
          <t>Lenovo:</t>
        </r>
        <r>
          <rPr>
            <sz val="9"/>
            <color indexed="81"/>
            <rFont val="Segoe UI"/>
            <family val="2"/>
          </rPr>
          <t xml:space="preserve">
se completeaza cu X in functie de optiune</t>
        </r>
      </text>
    </comment>
    <comment ref="D13" authorId="0" shapeId="0" xr:uid="{14DB98ED-B810-4ACA-AE1E-5C1119FFBC0F}">
      <text>
        <r>
          <rPr>
            <b/>
            <sz val="9"/>
            <color indexed="81"/>
            <rFont val="Segoe UI"/>
            <family val="2"/>
          </rPr>
          <t>Lenovo:</t>
        </r>
        <r>
          <rPr>
            <sz val="9"/>
            <color indexed="81"/>
            <rFont val="Segoe UI"/>
            <family val="2"/>
          </rPr>
          <t xml:space="preserve">
se completeaza cu X in functie de optiune</t>
        </r>
      </text>
    </comment>
    <comment ref="E26" authorId="1" shapeId="0" xr:uid="{F9AAD617-1508-46BC-B99A-2F649D8308BC}">
      <text>
        <r>
          <rPr>
            <b/>
            <sz val="9"/>
            <color indexed="81"/>
            <rFont val="Tahoma"/>
            <family val="2"/>
          </rPr>
          <t>Dell:</t>
        </r>
        <r>
          <rPr>
            <sz val="9"/>
            <color indexed="81"/>
            <rFont val="Tahoma"/>
            <family val="2"/>
          </rPr>
          <t xml:space="preserve">
Se completeaza automat in functie de tipul de control dorit.</t>
        </r>
      </text>
    </comment>
    <comment ref="E27" authorId="1" shapeId="0" xr:uid="{1ACA0C11-D24D-456B-8A3F-D5026231188E}">
      <text>
        <r>
          <rPr>
            <b/>
            <sz val="9"/>
            <color indexed="81"/>
            <rFont val="Tahoma"/>
            <family val="2"/>
          </rPr>
          <t>Dell:</t>
        </r>
        <r>
          <rPr>
            <sz val="9"/>
            <color indexed="81"/>
            <rFont val="Tahoma"/>
            <family val="2"/>
          </rPr>
          <t xml:space="preserve">
Se completeaza automat in functie de tipul de control dorit.</t>
        </r>
      </text>
    </comment>
    <comment ref="E28" authorId="1" shapeId="0" xr:uid="{8676E77D-E56B-4FB5-A257-AEDA44299723}">
      <text>
        <r>
          <rPr>
            <b/>
            <sz val="9"/>
            <color indexed="81"/>
            <rFont val="Tahoma"/>
            <family val="2"/>
          </rPr>
          <t>Dell:</t>
        </r>
        <r>
          <rPr>
            <sz val="9"/>
            <color indexed="81"/>
            <rFont val="Tahoma"/>
            <family val="2"/>
          </rPr>
          <t xml:space="preserve">
Se completeaza automat in functie de tipul de control dorit.</t>
        </r>
      </text>
    </comment>
    <comment ref="E29" authorId="1" shapeId="0" xr:uid="{30061B1F-CC68-4089-AFD8-9B2C08599330}">
      <text>
        <r>
          <rPr>
            <b/>
            <sz val="9"/>
            <color indexed="81"/>
            <rFont val="Tahoma"/>
            <family val="2"/>
          </rPr>
          <t>Dell:</t>
        </r>
        <r>
          <rPr>
            <sz val="9"/>
            <color indexed="81"/>
            <rFont val="Tahoma"/>
            <family val="2"/>
          </rPr>
          <t xml:space="preserve">
Varianta cu pret mai mic la HCC02+PHTE1. Se sterge in functie de tipul de client.</t>
        </r>
      </text>
    </comment>
    <comment ref="E30" authorId="1" shapeId="0" xr:uid="{2499E6BC-DAD8-43E3-B170-057145171467}">
      <text>
        <r>
          <rPr>
            <b/>
            <sz val="9"/>
            <color indexed="81"/>
            <rFont val="Tahoma"/>
            <family val="2"/>
          </rPr>
          <t>Dell:</t>
        </r>
        <r>
          <rPr>
            <sz val="9"/>
            <color indexed="81"/>
            <rFont val="Tahoma"/>
            <family val="2"/>
          </rPr>
          <t xml:space="preserve">
Se completeaza automat in functie de tipul de control dorit.</t>
        </r>
      </text>
    </comment>
    <comment ref="A38" authorId="0" shapeId="0" xr:uid="{844D50C1-028C-49B0-948E-584C1911F461}">
      <text>
        <r>
          <rPr>
            <b/>
            <sz val="9"/>
            <color indexed="81"/>
            <rFont val="Segoe UI"/>
            <family val="2"/>
          </rPr>
          <t>Lenovo:</t>
        </r>
        <r>
          <rPr>
            <sz val="9"/>
            <color indexed="81"/>
            <rFont val="Segoe UI"/>
            <family val="2"/>
          </rPr>
          <t xml:space="preserve">
se completeaza manual</t>
        </r>
      </text>
    </comment>
    <comment ref="D43" authorId="0" shapeId="0" xr:uid="{4561C626-7D95-485F-AFBD-9FAC4142B0F7}">
      <text>
        <r>
          <rPr>
            <b/>
            <sz val="9"/>
            <color indexed="81"/>
            <rFont val="Segoe UI"/>
            <family val="2"/>
          </rPr>
          <t>Lenovo:</t>
        </r>
        <r>
          <rPr>
            <sz val="9"/>
            <color indexed="81"/>
            <rFont val="Segoe UI"/>
            <family val="2"/>
          </rPr>
          <t xml:space="preserve">
se completeaza automat</t>
        </r>
      </text>
    </comment>
    <comment ref="I56" authorId="0" shapeId="0" xr:uid="{03C388D3-1FE2-4DDC-86C2-3BABF5442151}">
      <text>
        <r>
          <rPr>
            <b/>
            <sz val="9"/>
            <color indexed="81"/>
            <rFont val="Segoe UI"/>
            <family val="2"/>
          </rPr>
          <t>Lenovo:</t>
        </r>
        <r>
          <rPr>
            <sz val="9"/>
            <color indexed="81"/>
            <rFont val="Segoe UI"/>
            <family val="2"/>
          </rPr>
          <t xml:space="preserve">
Se trece direct sau se calculeaza prin suma suprafata sau suprafetele incaperilor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Lenovo</author>
    <author>Dell</author>
  </authors>
  <commentList>
    <comment ref="G10" authorId="0" shapeId="0" xr:uid="{0DDD488A-DBA4-4226-8FFE-1BEE8E480E62}">
      <text>
        <r>
          <rPr>
            <b/>
            <sz val="9"/>
            <color indexed="81"/>
            <rFont val="Segoe UI"/>
            <family val="2"/>
          </rPr>
          <t>Lenovo:</t>
        </r>
        <r>
          <rPr>
            <sz val="9"/>
            <color indexed="81"/>
            <rFont val="Segoe UI"/>
            <family val="2"/>
          </rPr>
          <t xml:space="preserve">
Se completeaza manual cu suprafata de degivrat intrew 1.8 si 51mp. Pentru suprafete mai mari se pune manual numarul de covorase.</t>
        </r>
      </text>
    </comment>
    <comment ref="D11" authorId="0" shapeId="0" xr:uid="{FFEC12FF-45E5-4ACB-B230-FEAE0660E66A}">
      <text>
        <r>
          <rPr>
            <b/>
            <sz val="9"/>
            <color indexed="81"/>
            <rFont val="Segoe UI"/>
            <family val="2"/>
          </rPr>
          <t>Lenovo:</t>
        </r>
        <r>
          <rPr>
            <sz val="9"/>
            <color indexed="81"/>
            <rFont val="Segoe UI"/>
            <family val="2"/>
          </rPr>
          <t xml:space="preserve">
se completeaza cu X in functie de optiune</t>
        </r>
      </text>
    </comment>
    <comment ref="D12" authorId="0" shapeId="0" xr:uid="{C87CD7A5-3D3B-4451-9832-C8DADC5F8F26}">
      <text>
        <r>
          <rPr>
            <b/>
            <sz val="9"/>
            <color indexed="81"/>
            <rFont val="Segoe UI"/>
            <family val="2"/>
          </rPr>
          <t>Lenovo:</t>
        </r>
        <r>
          <rPr>
            <sz val="9"/>
            <color indexed="81"/>
            <rFont val="Segoe UI"/>
            <family val="2"/>
          </rPr>
          <t xml:space="preserve">
se completeaza cu X in functie de optiune</t>
        </r>
      </text>
    </comment>
    <comment ref="D13" authorId="0" shapeId="0" xr:uid="{1CED214D-299E-45AD-87CE-39FD0E726A99}">
      <text>
        <r>
          <rPr>
            <b/>
            <sz val="9"/>
            <color indexed="81"/>
            <rFont val="Segoe UI"/>
            <family val="2"/>
          </rPr>
          <t>Lenovo:</t>
        </r>
        <r>
          <rPr>
            <sz val="9"/>
            <color indexed="81"/>
            <rFont val="Segoe UI"/>
            <family val="2"/>
          </rPr>
          <t xml:space="preserve">
se completeaza cu X in functie de optiune</t>
        </r>
      </text>
    </comment>
    <comment ref="E25" authorId="1" shapeId="0" xr:uid="{EDF06CFA-2E43-4ED5-98DF-CE19C8663ED0}">
      <text>
        <r>
          <rPr>
            <b/>
            <sz val="9"/>
            <color indexed="81"/>
            <rFont val="Tahoma"/>
            <family val="2"/>
          </rPr>
          <t>Dell:</t>
        </r>
        <r>
          <rPr>
            <sz val="9"/>
            <color indexed="81"/>
            <rFont val="Tahoma"/>
            <family val="2"/>
          </rPr>
          <t xml:space="preserve">
Se completeaza automat in functie de tipul de control dorit.</t>
        </r>
      </text>
    </comment>
    <comment ref="E26" authorId="1" shapeId="0" xr:uid="{B80666D2-2516-4D99-AA67-F26482957714}">
      <text>
        <r>
          <rPr>
            <b/>
            <sz val="9"/>
            <color indexed="81"/>
            <rFont val="Tahoma"/>
            <family val="2"/>
          </rPr>
          <t>Dell:</t>
        </r>
        <r>
          <rPr>
            <sz val="9"/>
            <color indexed="81"/>
            <rFont val="Tahoma"/>
            <family val="2"/>
          </rPr>
          <t xml:space="preserve">
Se completeaza automat in functie de tipul de control dorit.</t>
        </r>
      </text>
    </comment>
    <comment ref="E27" authorId="1" shapeId="0" xr:uid="{EF9F6A73-D08F-44D0-B854-EFE525EDF045}">
      <text>
        <r>
          <rPr>
            <b/>
            <sz val="9"/>
            <color indexed="81"/>
            <rFont val="Tahoma"/>
            <family val="2"/>
          </rPr>
          <t>Dell:</t>
        </r>
        <r>
          <rPr>
            <sz val="9"/>
            <color indexed="81"/>
            <rFont val="Tahoma"/>
            <family val="2"/>
          </rPr>
          <t xml:space="preserve">
Se completeaza automat in functie de tipul de control dorit.</t>
        </r>
      </text>
    </comment>
    <comment ref="E28" authorId="1" shapeId="0" xr:uid="{6ADD84A0-8B1F-46AE-9FF7-285724354048}">
      <text>
        <r>
          <rPr>
            <b/>
            <sz val="9"/>
            <color indexed="81"/>
            <rFont val="Tahoma"/>
            <family val="2"/>
          </rPr>
          <t>Dell:</t>
        </r>
        <r>
          <rPr>
            <sz val="9"/>
            <color indexed="81"/>
            <rFont val="Tahoma"/>
            <family val="2"/>
          </rPr>
          <t xml:space="preserve">
Varianta cu pret mai mic la HCC02+PHTE1. Se sterge in functie de tipul de client.</t>
        </r>
      </text>
    </comment>
    <comment ref="E29" authorId="1" shapeId="0" xr:uid="{923E8CB9-83A1-419C-A159-9A15F85BD299}">
      <text>
        <r>
          <rPr>
            <b/>
            <sz val="9"/>
            <color indexed="81"/>
            <rFont val="Tahoma"/>
            <family val="2"/>
          </rPr>
          <t>Dell:</t>
        </r>
        <r>
          <rPr>
            <sz val="9"/>
            <color indexed="81"/>
            <rFont val="Tahoma"/>
            <family val="2"/>
          </rPr>
          <t xml:space="preserve">
Se completeaza automat in functie de tipul de control dorit.</t>
        </r>
      </text>
    </comment>
    <comment ref="A36" authorId="0" shapeId="0" xr:uid="{A83D0587-7A3B-41B2-BA28-70123FA798F9}">
      <text>
        <r>
          <rPr>
            <b/>
            <sz val="9"/>
            <color indexed="81"/>
            <rFont val="Segoe UI"/>
            <family val="2"/>
          </rPr>
          <t>Lenovo:</t>
        </r>
        <r>
          <rPr>
            <sz val="9"/>
            <color indexed="81"/>
            <rFont val="Segoe UI"/>
            <family val="2"/>
          </rPr>
          <t xml:space="preserve">
se completeaza manual</t>
        </r>
      </text>
    </comment>
    <comment ref="D41" authorId="0" shapeId="0" xr:uid="{7670CBBF-D5BC-470F-B975-6CD6E7A6F418}">
      <text>
        <r>
          <rPr>
            <b/>
            <sz val="9"/>
            <color indexed="81"/>
            <rFont val="Segoe UI"/>
            <family val="2"/>
          </rPr>
          <t>Lenovo:</t>
        </r>
        <r>
          <rPr>
            <sz val="9"/>
            <color indexed="81"/>
            <rFont val="Segoe UI"/>
            <family val="2"/>
          </rPr>
          <t xml:space="preserve">
se completeaza automat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Lenovo</author>
    <author>Dell</author>
  </authors>
  <commentList>
    <comment ref="G10" authorId="0" shapeId="0" xr:uid="{9E570740-43B2-4771-B605-59781E22DA25}">
      <text>
        <r>
          <rPr>
            <b/>
            <sz val="9"/>
            <color indexed="81"/>
            <rFont val="Segoe UI"/>
            <family val="2"/>
          </rPr>
          <t>Lenovo:</t>
        </r>
        <r>
          <rPr>
            <sz val="9"/>
            <color indexed="81"/>
            <rFont val="Segoe UI"/>
            <family val="2"/>
          </rPr>
          <t xml:space="preserve">
Se completeaza manual cu suprafata de degivrat intre 2 si 60mp</t>
        </r>
      </text>
    </comment>
    <comment ref="D11" authorId="0" shapeId="0" xr:uid="{B34E8523-6106-49E6-8477-FFC7F0E35ED7}">
      <text>
        <r>
          <rPr>
            <b/>
            <sz val="9"/>
            <color indexed="81"/>
            <rFont val="Segoe UI"/>
            <family val="2"/>
          </rPr>
          <t>Lenovo:</t>
        </r>
        <r>
          <rPr>
            <sz val="9"/>
            <color indexed="81"/>
            <rFont val="Segoe UI"/>
            <family val="2"/>
          </rPr>
          <t xml:space="preserve">
se completeaza cu X in functie de optiune</t>
        </r>
      </text>
    </comment>
    <comment ref="D12" authorId="0" shapeId="0" xr:uid="{9C723E21-4C4D-4E82-969D-8F5A2090AFF8}">
      <text>
        <r>
          <rPr>
            <b/>
            <sz val="9"/>
            <color indexed="81"/>
            <rFont val="Segoe UI"/>
            <family val="2"/>
          </rPr>
          <t>Lenovo:</t>
        </r>
        <r>
          <rPr>
            <sz val="9"/>
            <color indexed="81"/>
            <rFont val="Segoe UI"/>
            <family val="2"/>
          </rPr>
          <t xml:space="preserve">
se completeaza cu X in functie de optiune</t>
        </r>
      </text>
    </comment>
    <comment ref="D13" authorId="0" shapeId="0" xr:uid="{AC29AE57-99E1-4586-B32A-1C0A86B0AF2A}">
      <text>
        <r>
          <rPr>
            <b/>
            <sz val="9"/>
            <color indexed="81"/>
            <rFont val="Segoe UI"/>
            <family val="2"/>
          </rPr>
          <t>Lenovo:</t>
        </r>
        <r>
          <rPr>
            <sz val="9"/>
            <color indexed="81"/>
            <rFont val="Segoe UI"/>
            <family val="2"/>
          </rPr>
          <t xml:space="preserve">
se completeaza cu X in functie de optiune</t>
        </r>
      </text>
    </comment>
    <comment ref="E25" authorId="1" shapeId="0" xr:uid="{DCBDCE8E-18AB-49FA-8A3B-525263806E54}">
      <text>
        <r>
          <rPr>
            <b/>
            <sz val="9"/>
            <color indexed="81"/>
            <rFont val="Tahoma"/>
            <family val="2"/>
          </rPr>
          <t>Dell:</t>
        </r>
        <r>
          <rPr>
            <sz val="9"/>
            <color indexed="81"/>
            <rFont val="Tahoma"/>
            <family val="2"/>
          </rPr>
          <t xml:space="preserve">
Se completeaza automat in functie de tipul de control dorit.</t>
        </r>
      </text>
    </comment>
    <comment ref="E26" authorId="1" shapeId="0" xr:uid="{5E59FABD-EE5A-46DE-88C3-51FA88066802}">
      <text>
        <r>
          <rPr>
            <b/>
            <sz val="9"/>
            <color indexed="81"/>
            <rFont val="Tahoma"/>
            <family val="2"/>
          </rPr>
          <t>Dell:</t>
        </r>
        <r>
          <rPr>
            <sz val="9"/>
            <color indexed="81"/>
            <rFont val="Tahoma"/>
            <family val="2"/>
          </rPr>
          <t xml:space="preserve">
Se completeaza automat in functie de tipul de control dorit.</t>
        </r>
      </text>
    </comment>
    <comment ref="E27" authorId="1" shapeId="0" xr:uid="{916BAEE9-68A3-4648-B675-6A5EE4639013}">
      <text>
        <r>
          <rPr>
            <b/>
            <sz val="9"/>
            <color indexed="81"/>
            <rFont val="Tahoma"/>
            <family val="2"/>
          </rPr>
          <t>Dell:</t>
        </r>
        <r>
          <rPr>
            <sz val="9"/>
            <color indexed="81"/>
            <rFont val="Tahoma"/>
            <family val="2"/>
          </rPr>
          <t xml:space="preserve">
Se completeaza automat in functie de tipul de control dorit.</t>
        </r>
      </text>
    </comment>
    <comment ref="E28" authorId="1" shapeId="0" xr:uid="{7773FE63-0DD9-43CC-84FA-86CE9C32AE3F}">
      <text>
        <r>
          <rPr>
            <b/>
            <sz val="9"/>
            <color indexed="81"/>
            <rFont val="Tahoma"/>
            <family val="2"/>
          </rPr>
          <t>Dell:</t>
        </r>
        <r>
          <rPr>
            <sz val="9"/>
            <color indexed="81"/>
            <rFont val="Tahoma"/>
            <family val="2"/>
          </rPr>
          <t xml:space="preserve">
Varianta cu pret mai mic la HCC02+PHTE1. Se sterge in functie de tipul de client.</t>
        </r>
      </text>
    </comment>
    <comment ref="E29" authorId="1" shapeId="0" xr:uid="{52FAA710-D7D1-48C3-B508-3A0274025421}">
      <text>
        <r>
          <rPr>
            <b/>
            <sz val="9"/>
            <color indexed="81"/>
            <rFont val="Tahoma"/>
            <family val="2"/>
          </rPr>
          <t>Dell:</t>
        </r>
        <r>
          <rPr>
            <sz val="9"/>
            <color indexed="81"/>
            <rFont val="Tahoma"/>
            <family val="2"/>
          </rPr>
          <t xml:space="preserve">
Se completeaza automat in functie de tipul de control dorit.</t>
        </r>
      </text>
    </comment>
    <comment ref="A36" authorId="0" shapeId="0" xr:uid="{D52CEF6B-22B0-454B-AC56-0D228061A410}">
      <text>
        <r>
          <rPr>
            <b/>
            <sz val="9"/>
            <color indexed="81"/>
            <rFont val="Segoe UI"/>
            <family val="2"/>
          </rPr>
          <t>Lenovo:</t>
        </r>
        <r>
          <rPr>
            <sz val="9"/>
            <color indexed="81"/>
            <rFont val="Segoe UI"/>
            <family val="2"/>
          </rPr>
          <t xml:space="preserve">
se completeaza manual</t>
        </r>
      </text>
    </comment>
    <comment ref="D41" authorId="0" shapeId="0" xr:uid="{DA65DFB8-DC4F-4B10-889A-E7CD2E4B5349}">
      <text>
        <r>
          <rPr>
            <b/>
            <sz val="9"/>
            <color indexed="81"/>
            <rFont val="Segoe UI"/>
            <family val="2"/>
          </rPr>
          <t>Lenovo:</t>
        </r>
        <r>
          <rPr>
            <sz val="9"/>
            <color indexed="81"/>
            <rFont val="Segoe UI"/>
            <family val="2"/>
          </rPr>
          <t xml:space="preserve">
se completeaza automat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E11" authorId="0" shapeId="0" xr:uid="{7762292A-8CC5-469D-B20B-DDD3B8C429D5}">
      <text>
        <r>
          <rPr>
            <b/>
            <sz val="9"/>
            <color indexed="81"/>
            <rFont val="Segoe UI"/>
            <family val="2"/>
          </rPr>
          <t>Lenovo:</t>
        </r>
        <r>
          <rPr>
            <sz val="9"/>
            <color indexed="81"/>
            <rFont val="Segoe UI"/>
            <family val="2"/>
          </rPr>
          <t xml:space="preserve">
se completeaza cu x in functie de material</t>
        </r>
      </text>
    </comment>
    <comment ref="E12" authorId="0" shapeId="0" xr:uid="{A6693479-AD73-47BB-BFC1-8638A080DDA9}">
      <text>
        <r>
          <rPr>
            <b/>
            <sz val="9"/>
            <color indexed="81"/>
            <rFont val="Segoe UI"/>
            <family val="2"/>
          </rPr>
          <t>Lenovo:</t>
        </r>
        <r>
          <rPr>
            <sz val="9"/>
            <color indexed="81"/>
            <rFont val="Segoe UI"/>
            <family val="2"/>
          </rPr>
          <t xml:space="preserve">
se completeaza cu x in functie de material
</t>
        </r>
      </text>
    </comment>
    <comment ref="F14" authorId="0" shapeId="0" xr:uid="{4DE16E80-7A0B-41D2-B37A-F644E366E0EA}">
      <text>
        <r>
          <rPr>
            <b/>
            <sz val="9"/>
            <color indexed="81"/>
            <rFont val="Segoe UI"/>
            <family val="2"/>
          </rPr>
          <t>Lenovo:</t>
        </r>
        <r>
          <rPr>
            <sz val="9"/>
            <color indexed="81"/>
            <rFont val="Segoe UI"/>
            <family val="2"/>
          </rPr>
          <t xml:space="preserve">
se completeaza manual cu lungimea conductei.</t>
        </r>
      </text>
    </comment>
    <comment ref="G14" authorId="0" shapeId="0" xr:uid="{7E47B92E-2D9F-43C7-95B8-3F4794066B79}">
      <text>
        <r>
          <rPr>
            <b/>
            <sz val="9"/>
            <color indexed="81"/>
            <rFont val="Segoe UI"/>
            <family val="2"/>
          </rPr>
          <t>Lenovo:</t>
        </r>
        <r>
          <rPr>
            <sz val="9"/>
            <color indexed="81"/>
            <rFont val="Segoe UI"/>
            <family val="2"/>
          </rPr>
          <t xml:space="preserve">
se completeaza manual diametrul tevii cu una din valorile apropiate din celula de deasupra.</t>
        </r>
      </text>
    </comment>
    <comment ref="D43" authorId="0" shapeId="0" xr:uid="{648EFCED-FD88-4F51-9E64-83E2B6DBA89A}">
      <text>
        <r>
          <rPr>
            <b/>
            <sz val="9"/>
            <color indexed="81"/>
            <rFont val="Segoe UI"/>
            <family val="2"/>
          </rPr>
          <t>Lenovo:</t>
        </r>
        <r>
          <rPr>
            <sz val="9"/>
            <color indexed="81"/>
            <rFont val="Segoe UI"/>
            <family val="2"/>
          </rPr>
          <t xml:space="preserve">
se completeaza automat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Lenovo</author>
    <author>Dell</author>
    <author>Sergiu G</author>
  </authors>
  <commentList>
    <comment ref="E11" authorId="0" shapeId="0" xr:uid="{D6818715-D39F-4B58-9021-B4B778122E9E}">
      <text>
        <r>
          <rPr>
            <b/>
            <sz val="9"/>
            <color indexed="81"/>
            <rFont val="Segoe UI"/>
            <family val="2"/>
          </rPr>
          <t>Lenovo:</t>
        </r>
        <r>
          <rPr>
            <sz val="9"/>
            <color indexed="81"/>
            <rFont val="Segoe UI"/>
            <family val="2"/>
          </rPr>
          <t xml:space="preserve">
se completeaza cu x in functie de material</t>
        </r>
      </text>
    </comment>
    <comment ref="E12" authorId="0" shapeId="0" xr:uid="{969A874D-E449-4F57-917B-292026B3BC64}">
      <text>
        <r>
          <rPr>
            <b/>
            <sz val="9"/>
            <color indexed="81"/>
            <rFont val="Segoe UI"/>
            <family val="2"/>
          </rPr>
          <t>Lenovo:</t>
        </r>
        <r>
          <rPr>
            <sz val="9"/>
            <color indexed="81"/>
            <rFont val="Segoe UI"/>
            <family val="2"/>
          </rPr>
          <t xml:space="preserve">
se completeaza cu x in functie de material
</t>
        </r>
      </text>
    </comment>
    <comment ref="E14" authorId="0" shapeId="0" xr:uid="{28DE74DB-3AB3-4C29-A92A-01EC8F3DF51E}">
      <text>
        <r>
          <rPr>
            <b/>
            <sz val="9"/>
            <color indexed="81"/>
            <rFont val="Segoe UI"/>
            <family val="2"/>
          </rPr>
          <t>Lenovo:</t>
        </r>
        <r>
          <rPr>
            <sz val="9"/>
            <color indexed="81"/>
            <rFont val="Segoe UI"/>
            <family val="2"/>
          </rPr>
          <t xml:space="preserve">
se completeaza cu x in functie de cablul ales.</t>
        </r>
      </text>
    </comment>
    <comment ref="E15" authorId="0" shapeId="0" xr:uid="{6D3D0CD9-EC2D-480F-AFAF-2FF696EB73CC}">
      <text>
        <r>
          <rPr>
            <b/>
            <sz val="9"/>
            <color indexed="81"/>
            <rFont val="Segoe UI"/>
            <family val="2"/>
          </rPr>
          <t>Lenovo:</t>
        </r>
        <r>
          <rPr>
            <sz val="9"/>
            <color indexed="81"/>
            <rFont val="Segoe UI"/>
            <family val="2"/>
          </rPr>
          <t xml:space="preserve">
se completeaza cu x in functie de cablul ales.</t>
        </r>
      </text>
    </comment>
    <comment ref="E16" authorId="0" shapeId="0" xr:uid="{AD8A455B-D959-4D9B-9CA6-BDB911EC3C40}">
      <text>
        <r>
          <rPr>
            <b/>
            <sz val="9"/>
            <color indexed="81"/>
            <rFont val="Segoe UI"/>
            <family val="2"/>
          </rPr>
          <t>Lenovo:</t>
        </r>
        <r>
          <rPr>
            <sz val="9"/>
            <color indexed="81"/>
            <rFont val="Segoe UI"/>
            <family val="2"/>
          </rPr>
          <t xml:space="preserve">
se completeaza cu x in functie de cablul ales.</t>
        </r>
      </text>
    </comment>
    <comment ref="E17" authorId="0" shapeId="0" xr:uid="{AFE6332B-5F1B-4C4A-8CE7-3C8F5C70BA37}">
      <text>
        <r>
          <rPr>
            <b/>
            <sz val="9"/>
            <color indexed="81"/>
            <rFont val="Segoe UI"/>
            <family val="2"/>
          </rPr>
          <t>Lenovo:</t>
        </r>
        <r>
          <rPr>
            <sz val="9"/>
            <color indexed="81"/>
            <rFont val="Segoe UI"/>
            <family val="2"/>
          </rPr>
          <t xml:space="preserve">
se completeaza cu x in functie de cablul ales.</t>
        </r>
      </text>
    </comment>
    <comment ref="E18" authorId="0" shapeId="0" xr:uid="{242FA5A7-2122-4992-A661-C80CAE144A58}">
      <text>
        <r>
          <rPr>
            <b/>
            <sz val="9"/>
            <color indexed="81"/>
            <rFont val="Segoe UI"/>
            <family val="2"/>
          </rPr>
          <t>Lenovo:</t>
        </r>
        <r>
          <rPr>
            <sz val="9"/>
            <color indexed="81"/>
            <rFont val="Segoe UI"/>
            <family val="2"/>
          </rPr>
          <t xml:space="preserve">
se completeaza cu x in functie de cablul ales.</t>
        </r>
      </text>
    </comment>
    <comment ref="D22" authorId="0" shapeId="0" xr:uid="{05E43B96-12F8-435E-A421-B79BD1F9B953}">
      <text>
        <r>
          <rPr>
            <b/>
            <sz val="9"/>
            <color indexed="81"/>
            <rFont val="Segoe UI"/>
            <family val="2"/>
          </rPr>
          <t>Lenovo:</t>
        </r>
        <r>
          <rPr>
            <sz val="9"/>
            <color indexed="81"/>
            <rFont val="Segoe UI"/>
            <family val="2"/>
          </rPr>
          <t xml:space="preserve">
se completeaza manual cu valoarea dorita 20,30 sau 50mm
</t>
        </r>
      </text>
    </comment>
    <comment ref="E22" authorId="0" shapeId="0" xr:uid="{E0398A9E-8496-45FA-A834-A02F7E0B9B0D}">
      <text>
        <r>
          <rPr>
            <b/>
            <sz val="9"/>
            <color indexed="81"/>
            <rFont val="Segoe UI"/>
            <family val="2"/>
          </rPr>
          <t>Lenovo:</t>
        </r>
        <r>
          <rPr>
            <sz val="9"/>
            <color indexed="81"/>
            <rFont val="Segoe UI"/>
            <family val="2"/>
          </rPr>
          <t xml:space="preserve">
se completeaza cu valoarea dorita-20/-25 sau -35 grade celsius</t>
        </r>
      </text>
    </comment>
    <comment ref="F22" authorId="0" shapeId="0" xr:uid="{1FBD0C95-D4C6-4677-8EF5-961955645413}">
      <text>
        <r>
          <rPr>
            <b/>
            <sz val="9"/>
            <color indexed="81"/>
            <rFont val="Segoe UI"/>
            <family val="2"/>
          </rPr>
          <t>Lenovo:</t>
        </r>
        <r>
          <rPr>
            <sz val="9"/>
            <color indexed="81"/>
            <rFont val="Segoe UI"/>
            <family val="2"/>
          </rPr>
          <t xml:space="preserve">
se completeaza manual</t>
        </r>
      </text>
    </comment>
    <comment ref="G22" authorId="0" shapeId="0" xr:uid="{2E0EF5C7-60E4-4C3A-98F7-DD29758B4B30}">
      <text>
        <r>
          <rPr>
            <b/>
            <sz val="9"/>
            <color indexed="81"/>
            <rFont val="Segoe UI"/>
            <family val="2"/>
          </rPr>
          <t>Lenovo:</t>
        </r>
        <r>
          <rPr>
            <sz val="9"/>
            <color indexed="81"/>
            <rFont val="Segoe UI"/>
            <family val="2"/>
          </rPr>
          <t xml:space="preserve">
se completeaza manual  cu  una din valoarea  corespunzatoare  din tabel a diametrului tevii </t>
        </r>
      </text>
    </comment>
    <comment ref="E72" authorId="1" shapeId="0" xr:uid="{1F5721FB-F3BF-48A2-8FB9-37BC158C8782}">
      <text>
        <r>
          <rPr>
            <b/>
            <sz val="9"/>
            <color indexed="81"/>
            <rFont val="Tahoma"/>
            <family val="2"/>
          </rPr>
          <t>Dell:</t>
        </r>
        <r>
          <rPr>
            <sz val="9"/>
            <color indexed="81"/>
            <rFont val="Tahoma"/>
            <family val="2"/>
          </rPr>
          <t xml:space="preserve">
Se completeaza automat in functie de tipul de cablu autoreglabil ales.</t>
        </r>
      </text>
    </comment>
    <comment ref="E73" authorId="1" shapeId="0" xr:uid="{D80EA7E3-06C2-447D-AD8D-B3CFDB9B2B28}">
      <text>
        <r>
          <rPr>
            <b/>
            <sz val="9"/>
            <color indexed="81"/>
            <rFont val="Tahoma"/>
            <family val="2"/>
          </rPr>
          <t>Dell:</t>
        </r>
        <r>
          <rPr>
            <sz val="9"/>
            <color indexed="81"/>
            <rFont val="Tahoma"/>
            <family val="2"/>
          </rPr>
          <t xml:space="preserve">
Se completeaza automat si se lasa sau se sterge in functie de ce tip de termostat se doreste.</t>
        </r>
      </text>
    </comment>
    <comment ref="E74" authorId="1" shapeId="0" xr:uid="{2BD9CF0F-E806-42D5-AA4F-37B7F9E4FC3F}">
      <text>
        <r>
          <rPr>
            <b/>
            <sz val="9"/>
            <color indexed="81"/>
            <rFont val="Tahoma"/>
            <family val="2"/>
          </rPr>
          <t>Dell:</t>
        </r>
        <r>
          <rPr>
            <sz val="9"/>
            <color indexed="81"/>
            <rFont val="Tahoma"/>
            <family val="2"/>
          </rPr>
          <t xml:space="preserve">
Se completeaza automat si se lasa sau se sterge in functie de ce tip de termostat se doreste.</t>
        </r>
      </text>
    </comment>
    <comment ref="E75" authorId="1" shapeId="0" xr:uid="{5187A185-BBA6-4FD4-86DE-C7497C3DB5C4}">
      <text>
        <r>
          <rPr>
            <b/>
            <sz val="9"/>
            <color indexed="81"/>
            <rFont val="Tahoma"/>
            <family val="2"/>
          </rPr>
          <t>Dell:</t>
        </r>
        <r>
          <rPr>
            <sz val="9"/>
            <color indexed="81"/>
            <rFont val="Tahoma"/>
            <family val="2"/>
          </rPr>
          <t xml:space="preserve">
se completeaza automat</t>
        </r>
      </text>
    </comment>
    <comment ref="E76" authorId="2" shapeId="0" xr:uid="{941E7194-557B-4A4D-A3F5-579A2D0AC9A3}">
      <text>
        <r>
          <rPr>
            <b/>
            <sz val="9"/>
            <color indexed="81"/>
            <rFont val="Tahoma"/>
            <family val="2"/>
          </rPr>
          <t>=ROUNDUP(((ROUNDUP((F22+1)*(PI()*(G22/1000));0))+AI71)/22,5;0)</t>
        </r>
      </text>
    </comment>
    <comment ref="D83" authorId="0" shapeId="0" xr:uid="{821D9A17-1767-4BAE-9392-67EF15686219}">
      <text>
        <r>
          <rPr>
            <b/>
            <sz val="9"/>
            <color indexed="81"/>
            <rFont val="Segoe UI"/>
            <family val="2"/>
          </rPr>
          <t>Lenovo:</t>
        </r>
        <r>
          <rPr>
            <sz val="9"/>
            <color indexed="81"/>
            <rFont val="Segoe UI"/>
            <family val="2"/>
          </rPr>
          <t xml:space="preserve">
se completeaza automat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E11" authorId="0" shapeId="0" xr:uid="{81459932-41FE-4472-A39A-074D134DD08A}">
      <text>
        <r>
          <rPr>
            <b/>
            <sz val="9"/>
            <color indexed="81"/>
            <rFont val="Segoe UI"/>
            <family val="2"/>
          </rPr>
          <t>Lenovo:</t>
        </r>
        <r>
          <rPr>
            <sz val="9"/>
            <color indexed="81"/>
            <rFont val="Segoe UI"/>
            <family val="2"/>
          </rPr>
          <t xml:space="preserve">
se completeaza cu x in functie de material</t>
        </r>
      </text>
    </comment>
    <comment ref="E12" authorId="0" shapeId="0" xr:uid="{1D593BA5-72FC-40E0-9433-03693EA879E3}">
      <text>
        <r>
          <rPr>
            <b/>
            <sz val="9"/>
            <color indexed="81"/>
            <rFont val="Segoe UI"/>
            <family val="2"/>
          </rPr>
          <t>Lenovo:</t>
        </r>
        <r>
          <rPr>
            <sz val="9"/>
            <color indexed="81"/>
            <rFont val="Segoe UI"/>
            <family val="2"/>
          </rPr>
          <t xml:space="preserve">
se completeaza cu x in functie de material
</t>
        </r>
      </text>
    </comment>
    <comment ref="E14" authorId="0" shapeId="0" xr:uid="{4A0A4A56-F1B3-492A-A6D1-D11DC0F553C6}">
      <text>
        <r>
          <rPr>
            <b/>
            <sz val="9"/>
            <color indexed="81"/>
            <rFont val="Segoe UI"/>
            <family val="2"/>
          </rPr>
          <t>Lenovo:</t>
        </r>
        <r>
          <rPr>
            <sz val="9"/>
            <color indexed="81"/>
            <rFont val="Segoe UI"/>
            <family val="2"/>
          </rPr>
          <t xml:space="preserve">
se completeaza cu x in functie de cablul ales.</t>
        </r>
      </text>
    </comment>
    <comment ref="E15" authorId="0" shapeId="0" xr:uid="{B9784D0D-6BE5-4AA6-A1A2-14D354C65F60}">
      <text>
        <r>
          <rPr>
            <b/>
            <sz val="9"/>
            <color indexed="81"/>
            <rFont val="Segoe UI"/>
            <family val="2"/>
          </rPr>
          <t>Lenovo:</t>
        </r>
        <r>
          <rPr>
            <sz val="9"/>
            <color indexed="81"/>
            <rFont val="Segoe UI"/>
            <family val="2"/>
          </rPr>
          <t xml:space="preserve">
se completeaza cu x in functie de cablul ales.</t>
        </r>
      </text>
    </comment>
    <comment ref="E16" authorId="0" shapeId="0" xr:uid="{A33E253F-E3A6-4DA7-8FB0-0D3D78E3FE31}">
      <text>
        <r>
          <rPr>
            <b/>
            <sz val="9"/>
            <color indexed="81"/>
            <rFont val="Segoe UI"/>
            <family val="2"/>
          </rPr>
          <t>Lenovo:</t>
        </r>
        <r>
          <rPr>
            <sz val="9"/>
            <color indexed="81"/>
            <rFont val="Segoe UI"/>
            <family val="2"/>
          </rPr>
          <t xml:space="preserve">
se completeaza cu x in functie de cablul ales.</t>
        </r>
      </text>
    </comment>
    <comment ref="E17" authorId="0" shapeId="0" xr:uid="{61E2E0E0-535A-46AA-88D2-14E627471244}">
      <text>
        <r>
          <rPr>
            <b/>
            <sz val="9"/>
            <color indexed="81"/>
            <rFont val="Segoe UI"/>
            <family val="2"/>
          </rPr>
          <t>Lenovo:</t>
        </r>
        <r>
          <rPr>
            <sz val="9"/>
            <color indexed="81"/>
            <rFont val="Segoe UI"/>
            <family val="2"/>
          </rPr>
          <t xml:space="preserve">
se completeaza cu x in functie de cablul ales.</t>
        </r>
      </text>
    </comment>
    <comment ref="E18" authorId="0" shapeId="0" xr:uid="{70575F41-AE68-4F44-BD0E-080D1F792EF7}">
      <text>
        <r>
          <rPr>
            <b/>
            <sz val="9"/>
            <color indexed="81"/>
            <rFont val="Segoe UI"/>
            <family val="2"/>
          </rPr>
          <t>Lenovo:</t>
        </r>
        <r>
          <rPr>
            <sz val="9"/>
            <color indexed="81"/>
            <rFont val="Segoe UI"/>
            <family val="2"/>
          </rPr>
          <t xml:space="preserve">
se completeaza cu x in functie de cablul ales.</t>
        </r>
      </text>
    </comment>
    <comment ref="D22" authorId="0" shapeId="0" xr:uid="{3109DAE3-8FB9-4430-9429-25C1AAAC3248}">
      <text>
        <r>
          <rPr>
            <b/>
            <sz val="9"/>
            <color indexed="81"/>
            <rFont val="Segoe UI"/>
            <family val="2"/>
          </rPr>
          <t>Lenovo:</t>
        </r>
        <r>
          <rPr>
            <sz val="9"/>
            <color indexed="81"/>
            <rFont val="Segoe UI"/>
            <family val="2"/>
          </rPr>
          <t xml:space="preserve">
se completeaza manual cu valoarea dorita 20,30 sau 50mm
</t>
        </r>
      </text>
    </comment>
    <comment ref="E22" authorId="0" shapeId="0" xr:uid="{3DFDB724-CD78-4F80-A1EF-A284A621170A}">
      <text>
        <r>
          <rPr>
            <b/>
            <sz val="9"/>
            <color indexed="81"/>
            <rFont val="Segoe UI"/>
            <family val="2"/>
          </rPr>
          <t>Lenovo:</t>
        </r>
        <r>
          <rPr>
            <sz val="9"/>
            <color indexed="81"/>
            <rFont val="Segoe UI"/>
            <family val="2"/>
          </rPr>
          <t xml:space="preserve">
se completeaza cu valoarea dorita-20/-25 sau -35 grade celsius</t>
        </r>
      </text>
    </comment>
    <comment ref="F22" authorId="0" shapeId="0" xr:uid="{F39B4A19-D2E8-4AC2-A587-4E8FC7E34902}">
      <text>
        <r>
          <rPr>
            <b/>
            <sz val="9"/>
            <color indexed="81"/>
            <rFont val="Segoe UI"/>
            <family val="2"/>
          </rPr>
          <t>Lenovo:</t>
        </r>
        <r>
          <rPr>
            <sz val="9"/>
            <color indexed="81"/>
            <rFont val="Segoe UI"/>
            <family val="2"/>
          </rPr>
          <t xml:space="preserve">
se completeaza manual</t>
        </r>
      </text>
    </comment>
    <comment ref="G22" authorId="0" shapeId="0" xr:uid="{C4D07E2B-7A58-4950-BFE3-0A66D75EBA48}">
      <text>
        <r>
          <rPr>
            <b/>
            <sz val="9"/>
            <color indexed="81"/>
            <rFont val="Segoe UI"/>
            <family val="2"/>
          </rPr>
          <t>Lenovo:</t>
        </r>
        <r>
          <rPr>
            <sz val="9"/>
            <color indexed="81"/>
            <rFont val="Segoe UI"/>
            <family val="2"/>
          </rPr>
          <t xml:space="preserve">
se completeaza manual  cu  una din valoarea  corespunzatoare  din tabel a diametrului tevii </t>
        </r>
      </text>
    </comment>
    <comment ref="D83" authorId="0" shapeId="0" xr:uid="{BE479FE4-29EC-435D-8610-E568D0DDDFD1}">
      <text>
        <r>
          <rPr>
            <b/>
            <sz val="9"/>
            <color indexed="81"/>
            <rFont val="Segoe UI"/>
            <family val="2"/>
          </rPr>
          <t>Lenovo:</t>
        </r>
        <r>
          <rPr>
            <sz val="9"/>
            <color indexed="81"/>
            <rFont val="Segoe UI"/>
            <family val="2"/>
          </rPr>
          <t xml:space="preserve">
se completeaza automat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<sst xmlns="http://schemas.openxmlformats.org/spreadsheetml/2006/main" count="1659" uniqueCount="494">
  <si>
    <t>Buna ziua,</t>
  </si>
  <si>
    <t xml:space="preserve">Nr. </t>
  </si>
  <si>
    <t>Crt.</t>
  </si>
  <si>
    <t>Cod</t>
  </si>
  <si>
    <t>Descriere</t>
  </si>
  <si>
    <t>UM</t>
  </si>
  <si>
    <t>Cant.</t>
  </si>
  <si>
    <t>Pret unitar</t>
  </si>
  <si>
    <t>[EUR fara TVA]</t>
  </si>
  <si>
    <t>Pret total</t>
  </si>
  <si>
    <t>buc.</t>
  </si>
  <si>
    <t>SC Magnum Heating SRL</t>
  </si>
  <si>
    <t xml:space="preserve">www.magnumheating.ro </t>
  </si>
  <si>
    <t>Email:</t>
  </si>
  <si>
    <t xml:space="preserve">     </t>
  </si>
  <si>
    <t xml:space="preserve">In atentia: </t>
  </si>
  <si>
    <r>
      <t>Telefon:</t>
    </r>
    <r>
      <rPr>
        <sz val="9"/>
        <color theme="1"/>
        <rFont val="Verdana"/>
        <family val="2"/>
      </rPr>
      <t xml:space="preserve"> </t>
    </r>
  </si>
  <si>
    <r>
      <t>Localitate</t>
    </r>
    <r>
      <rPr>
        <sz val="9"/>
        <color theme="1"/>
        <rFont val="Verdana"/>
        <family val="2"/>
      </rPr>
      <t xml:space="preserve">: </t>
    </r>
  </si>
  <si>
    <t>TOTAL OFERTA [EUR fara TVA]</t>
  </si>
  <si>
    <t>TOTAL OFERTA cu REDUCERE [EUR cu TVA]</t>
  </si>
  <si>
    <r>
      <t>Nota</t>
    </r>
    <r>
      <rPr>
        <sz val="9"/>
        <color theme="1"/>
        <rFont val="Verdana"/>
        <family val="2"/>
      </rPr>
      <t xml:space="preserve">: </t>
    </r>
  </si>
  <si>
    <r>
      <t xml:space="preserve">Producator Magnum Heating Olanda: </t>
    </r>
    <r>
      <rPr>
        <sz val="9"/>
        <color theme="1"/>
        <rFont val="Verdana"/>
        <family val="2"/>
      </rPr>
      <t>http://www.magnumheating.com/</t>
    </r>
  </si>
  <si>
    <r>
      <t>Valabilitate oferta</t>
    </r>
    <r>
      <rPr>
        <sz val="9"/>
        <color theme="1"/>
        <rFont val="Verdana"/>
        <family val="2"/>
      </rPr>
      <t>: 3 luni</t>
    </r>
  </si>
  <si>
    <r>
      <t>Livrare</t>
    </r>
    <r>
      <rPr>
        <sz val="9"/>
        <color theme="1"/>
        <rFont val="Verdana"/>
        <family val="2"/>
      </rPr>
      <t xml:space="preserve"> din stoc. Reperele care nu sunt pe stoc, se vor livra in maxim 7 zile lucratoare de la data comenzii.</t>
    </r>
  </si>
  <si>
    <t>Cablu degivrare MHC30 300 Watt / 10 m. / 230 Volt</t>
  </si>
  <si>
    <t>Cablu degivrare MHC30 450 Watt / 15 m. / 230 Volt</t>
  </si>
  <si>
    <t>Cablu degivrare MHC30 600 Watt / 20 m. / 230 Volt</t>
  </si>
  <si>
    <t>Cablu degivrare MHC30 750 Watt / 25 m. / 230 Volt</t>
  </si>
  <si>
    <t>Cablu degivrare MHC30 900 Watt / 30 m. / 230 Volt</t>
  </si>
  <si>
    <t>Cablu degivrare MHC30 1200 Watt / 40 m. / 230 Volt</t>
  </si>
  <si>
    <t>Cablu degivrare MHC30 1500 Watt / 50 m. / 230 Volt</t>
  </si>
  <si>
    <t>Cablu degivrare MHC30 1800 Watt / 60 m. / 230 Volt</t>
  </si>
  <si>
    <t>Cablu degivrare MHC30 2100 Watt / 70 m. / 230 Volt</t>
  </si>
  <si>
    <t>Cablu degivrare MHC30 2400 Watt / 80 m. / 230 Volt</t>
  </si>
  <si>
    <t>Cablu degivrare MHC30 3000 Watt / 100 m. / 230 Volt</t>
  </si>
  <si>
    <t>Cablu degivrare MHC30 3600 Watt / 120 m. / 230 Volt</t>
  </si>
  <si>
    <t>Cablu degivrare MHC30 4200 Watt / 140 m. / 230 Volt</t>
  </si>
  <si>
    <t>HCC-01</t>
  </si>
  <si>
    <t>HCC-02</t>
  </si>
  <si>
    <t>PHTE 1</t>
  </si>
  <si>
    <t xml:space="preserve">Automatizare si senzori pentru degivrare </t>
  </si>
  <si>
    <t>Cablu degivrare putere constanta (30 W/m) Exterior 7 mm grosime montaj beton</t>
  </si>
  <si>
    <t>Cablu incalzitor autoreglabil MTGH - 20W/m @ 10°C</t>
  </si>
  <si>
    <r>
      <t xml:space="preserve">Furnizor: </t>
    </r>
    <r>
      <rPr>
        <b/>
        <sz val="26"/>
        <rFont val="MS Sans Serif"/>
      </rPr>
      <t>MAGNUM HEATING SRL</t>
    </r>
    <r>
      <rPr>
        <b/>
        <sz val="10"/>
        <rFont val="MS Sans Serif"/>
      </rPr>
      <t xml:space="preserve">
Reg. com: J40/8589/2014
CIF: RO33404978
Adresa: Intr. Invingatorilor nr. 27A, Bucuresti, Jud. sector 3
IBAN : RO50BREL0002003055820100
Banca: LIBRA BANK
</t>
    </r>
  </si>
  <si>
    <t>Cablu degivrare MHC30 3400 Watt / 113,4 m./230 Volt</t>
  </si>
  <si>
    <t>Materiale sistem degivrare electrica</t>
  </si>
  <si>
    <r>
      <t xml:space="preserve">Va multumim pentru cererea de oferta si va prezentam mai jos propunerea noastra pentru sistemul de degivrare </t>
    </r>
    <r>
      <rPr>
        <b/>
        <sz val="9"/>
        <color theme="1"/>
        <rFont val="Verdana"/>
        <family val="2"/>
      </rPr>
      <t>Magnum Heating - Olanda.</t>
    </r>
  </si>
  <si>
    <t>Materiale degivrare electrica</t>
  </si>
  <si>
    <t>Chit cablu protectie inghet conducte  1 m - 10 W</t>
  </si>
  <si>
    <t>Chit cablu protectie inghet conducte 2 m - 20 W</t>
  </si>
  <si>
    <t>Chit cablu protectie inghet conducte 4 m - 40 W</t>
  </si>
  <si>
    <t>Chit cablu protectie inghet conducte 6 m - 60 W</t>
  </si>
  <si>
    <t>Chit cablu protectie inghet conducte 8 m - 80 W</t>
  </si>
  <si>
    <t>Chit cablu protectie inghet conducte 10 m - 100 W</t>
  </si>
  <si>
    <t>Chit cablu protectie inghet conducte 14 m - 140 W</t>
  </si>
  <si>
    <t>Chit cablu protectie inghet conducte 18 m - 180 W</t>
  </si>
  <si>
    <t>Chit cablu protectie inghet conducte 22 m - 220 W</t>
  </si>
  <si>
    <t>Chit cablu protectie inghet conducte 26 m - 260 W</t>
  </si>
  <si>
    <t>Chit cablu protectie inghet conducte 30 m - 300 W</t>
  </si>
  <si>
    <t>Chit cablu protectie inghet conducte 34 m - 340 W</t>
  </si>
  <si>
    <t>Chit cablu protectie inghet conducte 40 m - 400 W</t>
  </si>
  <si>
    <t>Chit cablu protectie inghet conducte 48 m - 480 W</t>
  </si>
  <si>
    <t xml:space="preserve">Chit cablu degivrare conducte cu stecher cablu alimentare si termostat 10 W / ml </t>
  </si>
  <si>
    <t>Consultant vanzari:ing.Mihail Macovei</t>
  </si>
  <si>
    <t>mail:mihail.macovei@magnumheating.ro</t>
  </si>
  <si>
    <t>Telefon:0760.043.655</t>
  </si>
  <si>
    <t>Banda scotch aluminiu MAGNUM - 22,5 m x 5 cm</t>
  </si>
  <si>
    <t>rola</t>
  </si>
  <si>
    <t xml:space="preserve">Accesorii montaj cablu incalzire electrica </t>
  </si>
  <si>
    <t xml:space="preserve">  </t>
  </si>
  <si>
    <t>REDUCERE PENTRU PLATA IN AVANS [EUR fara TVA]</t>
  </si>
  <si>
    <t>Cablu degivrare putere constanta (30 W/m) Exterior 7 mm grosime montaj asfalt</t>
  </si>
  <si>
    <t>Cablu degivrare MHC30 1900 Watt / 63,4 m. / 230 Volt</t>
  </si>
  <si>
    <t>Cablu degivrare MHC30 3400 Watt / 113,4 m. / 230 Volt</t>
  </si>
  <si>
    <t>Covor degivrare  pentru exterior 200 W / mp  montaj in adeziv 4 mm grosime</t>
  </si>
  <si>
    <t>210202</t>
  </si>
  <si>
    <t>Covor degivrare  pentru exterior 300 W / mp  montaj beton 7 mm grosime</t>
  </si>
  <si>
    <t xml:space="preserve">Catre: </t>
  </si>
  <si>
    <t>In atentia:</t>
  </si>
  <si>
    <t>MT-Chit conectare mansoane termocontractabile</t>
  </si>
  <si>
    <t>ETOG 56 Senzor  temperatura / umiditate pentru pardoseala</t>
  </si>
  <si>
    <r>
      <t xml:space="preserve">Va multumim pentru cererea de oferta si va prezentam mai jos propunerea noastra pentru sistemul de degivrare </t>
    </r>
    <r>
      <rPr>
        <b/>
        <sz val="9"/>
        <color theme="1"/>
        <rFont val="Verdana"/>
        <family val="2"/>
      </rPr>
      <t>Magnum Trace - Olanda.</t>
    </r>
  </si>
  <si>
    <t>Accesorii montaj cablu autoreglabil</t>
  </si>
  <si>
    <t>Cablu incalzitor autoreglabil MTM 11 W/m @ 10°C</t>
  </si>
  <si>
    <t>Cablu incalzitor autoreglabil MTM 17 W / m @ 10°C</t>
  </si>
  <si>
    <t>Cablu incalzitor autoreglabil MTW - 10 W/m @ 10°C</t>
  </si>
  <si>
    <t>Cablu incalzitor autoreglabil MTHW-9 W/m @ 55°C</t>
  </si>
  <si>
    <t>Cablu incalzitor autoreglabil MTHW-12 W/9 @ 65°C</t>
  </si>
  <si>
    <t>Cablu incalzitor autoreglabil MTR - 25 W/m@ 10°C</t>
  </si>
  <si>
    <t>Cablu incalzitor autoreglabil MTR - 33 W/ m@ 10°C</t>
  </si>
  <si>
    <t>ml.</t>
  </si>
  <si>
    <t>Lungime 
totala [m]</t>
  </si>
  <si>
    <t xml:space="preserve">Corespondenta lungime (jgheab/burlan) cu tip si cantitate cabluri </t>
  </si>
  <si>
    <t>Necesar
 cablu [m]</t>
  </si>
  <si>
    <t xml:space="preserve">Accesorii  pentru degivrare </t>
  </si>
  <si>
    <t>Putere kit  cablu 1 [W]</t>
  </si>
  <si>
    <t>Putere kit  cablu 2 [W]</t>
  </si>
  <si>
    <t>Materiale sistem degivrare electrica cu cablu in beton/pat de nisip+dale</t>
  </si>
  <si>
    <t>Suprafata degivrata
S1…Sn</t>
  </si>
  <si>
    <t>Putere 
covoras 1 [W]</t>
  </si>
  <si>
    <t>Putere 
covoras 2 [W]</t>
  </si>
  <si>
    <t>Putere totala covorase / suprafata[W]</t>
  </si>
  <si>
    <t xml:space="preserve"> </t>
  </si>
  <si>
    <t>Termostat</t>
  </si>
  <si>
    <t xml:space="preserve">Senzor </t>
  </si>
  <si>
    <t>Tip control  (degivrare)</t>
  </si>
  <si>
    <t>temperatura</t>
  </si>
  <si>
    <t>temp. si umiditate intr-o zona</t>
  </si>
  <si>
    <t>temp. si umiditate in doua zone</t>
  </si>
  <si>
    <t>inclus 
in pachet</t>
  </si>
  <si>
    <t>1 buc HCC-02</t>
  </si>
  <si>
    <t>2 buc 
HCC-01</t>
  </si>
  <si>
    <t>ETN-4</t>
  </si>
  <si>
    <t>Putere 
covoras 3 [W]</t>
  </si>
  <si>
    <t>kit cablu protectie inghet jgheaburi 300 Watt / 10 m. / 230 Volt</t>
  </si>
  <si>
    <t>Kit cablu protectie inghet jgheaburi 450 Watt / 15 m. / 230 Volt</t>
  </si>
  <si>
    <t>Kit cablu protectie inghet jgheaburi 600 Watt / 20 m. / 230 Volt</t>
  </si>
  <si>
    <t>Kit cablu protectie inghet jgheaburi 750 Watt / 25 m. / 230 Volt</t>
  </si>
  <si>
    <t>Kit cablu protectie inghet jgheaburi 900 Watt / 30 m. / 230 Volt</t>
  </si>
  <si>
    <t>Kit cablu protectie inghet jgheaburi 1200 Watt / 40 m. / 230 Volt</t>
  </si>
  <si>
    <t>Kit cablu protectie inghet jgheaburi 1500 Watt / 50 m. / 230 Volt</t>
  </si>
  <si>
    <t xml:space="preserve">Materiale sistem degivrare electrica cu covor in adeziv </t>
  </si>
  <si>
    <t>Materiale sistem degivrare electrica cu covor in beton</t>
  </si>
  <si>
    <t>Suprafata incapare
S1…Sn</t>
  </si>
  <si>
    <t>W/mp</t>
  </si>
  <si>
    <t>Tip 
termostat</t>
  </si>
  <si>
    <t>Model
termostat</t>
  </si>
  <si>
    <t>Analogic</t>
  </si>
  <si>
    <t>MTH811</t>
  </si>
  <si>
    <t>C16 -Wi-Fi</t>
  </si>
  <si>
    <t>WI-FI</t>
  </si>
  <si>
    <t>F32 - Wi-Fi</t>
  </si>
  <si>
    <t>MRC - Wi-Fi</t>
  </si>
  <si>
    <t>Putere catalog cablu 1 / suprafata
[W]</t>
  </si>
  <si>
    <t>Putere totala cabluri / suprafata[W]</t>
  </si>
  <si>
    <t>21.02.2023</t>
  </si>
  <si>
    <t xml:space="preserve">Kit cablu degivrare jgheaburi/burlane cu stecher cablu alimentare si termostat 30 W / ml </t>
  </si>
  <si>
    <t>Lungime jgheab + burlan[ml]</t>
  </si>
  <si>
    <t>set</t>
  </si>
  <si>
    <t xml:space="preserve">Necesar
incapere </t>
  </si>
  <si>
    <t>[W]</t>
  </si>
  <si>
    <r>
      <t>1. Oferta prezentata este estimativa si nu tine loc de proiect. Aceasta se poate modifica in functie de situatia reala sau in functie de calculul din proiect.</t>
    </r>
    <r>
      <rPr>
        <b/>
        <sz val="9"/>
        <color theme="1"/>
        <rFont val="Verdana"/>
        <family val="2"/>
      </rPr>
      <t xml:space="preserve"> </t>
    </r>
  </si>
  <si>
    <r>
      <t>Garantie</t>
    </r>
    <r>
      <rPr>
        <sz val="9"/>
        <color theme="1"/>
        <rFont val="Verdana"/>
        <family val="2"/>
      </rPr>
      <t>:10 ani cablu, 2 ani automatizare.</t>
    </r>
  </si>
  <si>
    <t>`</t>
  </si>
  <si>
    <t>ETI-1551 Termostat -10/+50°C, 230V  10A</t>
  </si>
  <si>
    <t>Control</t>
  </si>
  <si>
    <t>Putere catalog cablu 2 / suprafata
[W]</t>
  </si>
  <si>
    <t>Putere catalog cablu 3 / suprafata
[W]</t>
  </si>
  <si>
    <t>Putere catalog cablu 4 / suprafata
[W]</t>
  </si>
  <si>
    <t>Putere catalog cablu 5 / suprafata
[W]</t>
  </si>
  <si>
    <r>
      <t xml:space="preserve">Va multumim pentru cererea de oferta si va prezentam mai jos propunerea noastra pentru sistemul de degivrare </t>
    </r>
    <r>
      <rPr>
        <b/>
        <sz val="9"/>
        <color theme="1"/>
        <rFont val="Verdana"/>
        <family val="2"/>
      </rPr>
      <t xml:space="preserve">Magnum Heating - Olanda </t>
    </r>
    <r>
      <rPr>
        <sz val="9"/>
        <color theme="1"/>
        <rFont val="Verdana"/>
        <family val="2"/>
      </rPr>
      <t>si automatizare cu:</t>
    </r>
  </si>
  <si>
    <t>Banda metalica fixare cablu 10 m</t>
  </si>
  <si>
    <r>
      <t>Suprafata [m</t>
    </r>
    <r>
      <rPr>
        <b/>
        <sz val="9"/>
        <color theme="1"/>
        <rFont val="Calibri"/>
        <family val="2"/>
      </rPr>
      <t>²]</t>
    </r>
  </si>
  <si>
    <t>L burlan [ml] =</t>
  </si>
  <si>
    <t>L jgheab [ml] =</t>
  </si>
  <si>
    <t>x</t>
  </si>
  <si>
    <t xml:space="preserve"> temperatura</t>
  </si>
  <si>
    <t xml:space="preserve"> temperatura si umiditate in doua zone[2]</t>
  </si>
  <si>
    <t xml:space="preserve"> temperatura si umiditate intr-o singura zona[1]</t>
  </si>
  <si>
    <t>Putere catalog cablu 6 / suprafata
[W]</t>
  </si>
  <si>
    <t>Putere 
covoras 4 [W]</t>
  </si>
  <si>
    <t>Putere 
covoras 5 [W]</t>
  </si>
  <si>
    <t>mp covor
 ofertat</t>
  </si>
  <si>
    <t>Putere 
covoras 6 [W]</t>
  </si>
  <si>
    <t>ETF-144 Senzor pardoseala</t>
  </si>
  <si>
    <r>
      <t xml:space="preserve">2. Puterea instalata minima necesara pentru sistemul de incalzire in  </t>
    </r>
    <r>
      <rPr>
        <b/>
        <sz val="9"/>
        <color theme="1"/>
        <rFont val="Verdana"/>
        <family val="2"/>
      </rPr>
      <t xml:space="preserve"> [ kW ]</t>
    </r>
    <r>
      <rPr>
        <sz val="9"/>
        <color theme="1"/>
        <rFont val="Verdana"/>
        <family val="2"/>
      </rPr>
      <t xml:space="preserve">  =</t>
    </r>
  </si>
  <si>
    <t>Diametru teava [mm]</t>
  </si>
  <si>
    <t>15mm</t>
  </si>
  <si>
    <t>20mm</t>
  </si>
  <si>
    <t>25mm</t>
  </si>
  <si>
    <t>30mm</t>
  </si>
  <si>
    <t>40mm</t>
  </si>
  <si>
    <t>50mm</t>
  </si>
  <si>
    <t>100mm</t>
  </si>
  <si>
    <t>Lungime tronson teava [m]</t>
  </si>
  <si>
    <t>Plastic</t>
  </si>
  <si>
    <t>Lungime
[ml]</t>
  </si>
  <si>
    <t>Material
conducta</t>
  </si>
  <si>
    <r>
      <t xml:space="preserve">Va multumim pentru cererea de oferta si va prezentam mai jos propunerea noastra pentru sistemul de degivrare conducte </t>
    </r>
    <r>
      <rPr>
        <b/>
        <sz val="9"/>
        <color theme="1"/>
        <rFont val="Verdana"/>
        <family val="2"/>
      </rPr>
      <t>Magnum Ideal - Olanda.</t>
    </r>
  </si>
  <si>
    <t>Metal</t>
  </si>
  <si>
    <t xml:space="preserve"> Kit 
 -30C,
W </t>
  </si>
  <si>
    <t xml:space="preserve"> Kit
 -30C,
W </t>
  </si>
  <si>
    <t>diametru
[mm]</t>
  </si>
  <si>
    <t>15-25</t>
  </si>
  <si>
    <t>0.5-48</t>
  </si>
  <si>
    <t>0.5-24</t>
  </si>
  <si>
    <t>0.5-22</t>
  </si>
  <si>
    <t>0.5-19.2</t>
  </si>
  <si>
    <t>0.5-13</t>
  </si>
  <si>
    <t>Materiale sistem degivrare electrica conducte cu cablu Ideal</t>
  </si>
  <si>
    <t>lungime 
maxima[ml]</t>
  </si>
  <si>
    <t>Diametru 
[mm]</t>
  </si>
  <si>
    <t>Cablu  incalzitor autoreglabil Magnum Trace Micro</t>
  </si>
  <si>
    <t xml:space="preserve">ETN-4 Termostat digital-20 / + 70 degrees 16A - 230 Volt + senzor pardoseala </t>
  </si>
  <si>
    <t>Oferta nr. / 10.03.2024</t>
  </si>
  <si>
    <t>Grosime
izolatie</t>
  </si>
  <si>
    <t>DN</t>
  </si>
  <si>
    <t>mm</t>
  </si>
  <si>
    <t xml:space="preserve">MAGNUM Cable 300 W - 17,6 m </t>
  </si>
  <si>
    <t xml:space="preserve">MAGNUM Cable 500 W - 29,4 m </t>
  </si>
  <si>
    <t xml:space="preserve">MAGNUM Cable 700 W - 41,2 m </t>
  </si>
  <si>
    <t xml:space="preserve">MAGNUM Cable 1000 W - 58,8 m </t>
  </si>
  <si>
    <t>MAGNUM Cable 1250 W - 73,5 m</t>
  </si>
  <si>
    <t>MAGNUM Cable 1500 W - 88,2 m</t>
  </si>
  <si>
    <t>MAGNUM Cable 1700 W - 100 m</t>
  </si>
  <si>
    <t xml:space="preserve">MAGNUM Cable 2100 W - 123,5 m </t>
  </si>
  <si>
    <t xml:space="preserve">MAGNUM Cable 2600 W - 152,9 m </t>
  </si>
  <si>
    <t>MAGNUM Cable 2900 W - 170,6 m</t>
  </si>
  <si>
    <t xml:space="preserve">MAGNUM Cable 3300 W - 194,1 m </t>
  </si>
  <si>
    <t xml:space="preserve">Tip cablu
</t>
  </si>
  <si>
    <t>10W/ml</t>
  </si>
  <si>
    <t>Cablu incalzire in pardoseala 100 W - 10 m</t>
  </si>
  <si>
    <t>Cablu incalzire in pardoseala 200 W - 20 m</t>
  </si>
  <si>
    <t>Cablu incalzire in pardoseala 300 W - 30 m</t>
  </si>
  <si>
    <t xml:space="preserve">Cablu incalzire in pardoseala 400 W - 40 m </t>
  </si>
  <si>
    <t>Cablu incalzire in pardoseala 600 W - 60 m</t>
  </si>
  <si>
    <t>Cablu incalzire in pardoseala 800 W - 80 m</t>
  </si>
  <si>
    <t>Cablu incalzire in pardoseala 1000 W - 100 m</t>
  </si>
  <si>
    <t>Cablu incalzire in pardoseala 1200 W - 120 m</t>
  </si>
  <si>
    <t>Cablu incalzire in pardoseala 1500 W - 150 m</t>
  </si>
  <si>
    <t>Cablu incalzire in pardoseala 1900 W - 190 m</t>
  </si>
  <si>
    <t>Izolatie
# [mm]</t>
  </si>
  <si>
    <r>
      <rPr>
        <b/>
        <sz val="10"/>
        <color theme="1"/>
        <rFont val="Calibri"/>
        <family val="2"/>
      </rPr>
      <t>∆</t>
    </r>
    <r>
      <rPr>
        <b/>
        <sz val="10"/>
        <color theme="1"/>
        <rFont val="Verdana"/>
        <family val="2"/>
      </rPr>
      <t>T,</t>
    </r>
    <r>
      <rPr>
        <b/>
        <sz val="10"/>
        <color theme="1"/>
        <rFont val="Calibri"/>
        <family val="2"/>
      </rPr>
      <t>°</t>
    </r>
    <r>
      <rPr>
        <b/>
        <sz val="10"/>
        <color theme="1"/>
        <rFont val="Verdana"/>
        <family val="2"/>
      </rPr>
      <t>C</t>
    </r>
  </si>
  <si>
    <t>∆T,°C</t>
  </si>
  <si>
    <t>½</t>
  </si>
  <si>
    <t>¾</t>
  </si>
  <si>
    <t>1¼</t>
  </si>
  <si>
    <t>1½</t>
  </si>
  <si>
    <t>2½</t>
  </si>
  <si>
    <t>3½</t>
  </si>
  <si>
    <t>4½</t>
  </si>
  <si>
    <t>inch</t>
  </si>
  <si>
    <t xml:space="preserve">MTM 11W/ml </t>
  </si>
  <si>
    <t xml:space="preserve">MTM 17W/ml </t>
  </si>
  <si>
    <t>Pehd,PPR,PVC</t>
  </si>
  <si>
    <t>17W/ml</t>
  </si>
  <si>
    <t>ETF-633 Senzor de conducta -40/+120°C</t>
  </si>
  <si>
    <t>Cablu incalzire pardoseala - 17 W/ml, 7 mm grosime</t>
  </si>
  <si>
    <t>Cablu incalzire pardoseala - 10 W/ml, 7 mm grosime</t>
  </si>
  <si>
    <t>Auto MTM 11W/m</t>
  </si>
  <si>
    <t>Auto MTM 17W/m</t>
  </si>
  <si>
    <t>metri cablu 11w/ml</t>
  </si>
  <si>
    <t>metri cablu 17w/ml</t>
  </si>
  <si>
    <t>Cablu incalzire pardoseala - 20 W/ml, 7 mm grosime</t>
  </si>
  <si>
    <t xml:space="preserve">MAGNUM Cable 300 W - 15 m </t>
  </si>
  <si>
    <t xml:space="preserve">MAGNUM Cable 500 W - 25 m </t>
  </si>
  <si>
    <t xml:space="preserve">MAGNUM Cable 1000 W - 50 m </t>
  </si>
  <si>
    <t>MAGNUM Cable 1600 W - 80 m</t>
  </si>
  <si>
    <t>MAGNUM Cable 1200 W - 60 m</t>
  </si>
  <si>
    <t>MAGNUM Cable 3200 W - 160 m</t>
  </si>
  <si>
    <t>MAGNUM Cable 2800 W - 140 m</t>
  </si>
  <si>
    <t>MAGNUM Cable 2400 W - 120 m</t>
  </si>
  <si>
    <t>MAGNUM Cable 2000 W - 100 m</t>
  </si>
  <si>
    <t>MAGNUM Cable 1800 W - 90 m</t>
  </si>
  <si>
    <t>Putere necesara W/ml</t>
  </si>
  <si>
    <t>20W/ml</t>
  </si>
  <si>
    <t>MTM 20W/ml</t>
  </si>
  <si>
    <t>metri cablu 20w/ml</t>
  </si>
  <si>
    <t>Necesar W/ ML</t>
  </si>
  <si>
    <t>Total
W</t>
  </si>
  <si>
    <t>Total W</t>
  </si>
  <si>
    <t>Izolatie
[mm]</t>
  </si>
  <si>
    <t>Material conducta</t>
  </si>
  <si>
    <t>Tip cablu</t>
  </si>
  <si>
    <t>Imagine</t>
  </si>
  <si>
    <t>Furnizor: MAGNUM HEATING SRL</t>
  </si>
  <si>
    <t>Adresa: Intr. Invingatorilor nr. 27A, Bucuresti, Jud. sector 3</t>
  </si>
  <si>
    <t>IBAN : RO50BREL0002003055820100</t>
  </si>
  <si>
    <t>Banca: LIBRA BANK</t>
  </si>
  <si>
    <t>Reg. com: J40/8589/2014; CIF: RO33404978</t>
  </si>
  <si>
    <t>metal</t>
  </si>
  <si>
    <t>plastic</t>
  </si>
  <si>
    <r>
      <t xml:space="preserve">Va multumim pentru cererea de oferta si va prezentam mai jos 
propunerea noastra pentru sistemul de degivrare </t>
    </r>
    <r>
      <rPr>
        <b/>
        <sz val="9"/>
        <color theme="1"/>
        <rFont val="Verdana"/>
        <family val="2"/>
      </rPr>
      <t>Magnum Trace - Olanda.</t>
    </r>
  </si>
  <si>
    <t>MTM 11W/ml (pt autoreglabil)</t>
  </si>
  <si>
    <t>MTM 17W/ml (si pt autoreglabil)</t>
  </si>
  <si>
    <t>Tabel 1</t>
  </si>
  <si>
    <t>Tabel 2</t>
  </si>
  <si>
    <t>Tabel 3</t>
  </si>
  <si>
    <t>Tabel 4</t>
  </si>
  <si>
    <t>Autoreglabil   11W/m</t>
  </si>
  <si>
    <t>Autoreglabil 17W/m</t>
  </si>
  <si>
    <t>Putere const. 10W/ml</t>
  </si>
  <si>
    <t>Putere const. 17W/ml</t>
  </si>
  <si>
    <t>Putere const. 20W/ml</t>
  </si>
  <si>
    <t>2 cabl</t>
  </si>
  <si>
    <t>3 cabl</t>
  </si>
  <si>
    <t>1 cabl</t>
  </si>
  <si>
    <r>
      <t xml:space="preserve">Va multumim pentru cererea de oferta si va prezentam mai jos propunerea noastra pentru sistemul automat de degivrare </t>
    </r>
    <r>
      <rPr>
        <b/>
        <sz val="9"/>
        <color theme="1"/>
        <rFont val="Verdana"/>
        <family val="2"/>
      </rPr>
      <t>Magnum Heating - Olanda.</t>
    </r>
  </si>
  <si>
    <t xml:space="preserve">
Tip cablu
</t>
  </si>
  <si>
    <t>Autoreglabil 20W/ml</t>
  </si>
  <si>
    <t>Cant</t>
  </si>
  <si>
    <t xml:space="preserve">Automatizare si accesorii  pentru degivrare </t>
  </si>
  <si>
    <t>HCC - 02 Termostat temperatura / umiditate 1 x 16A - 230 Volt</t>
  </si>
  <si>
    <t>PHTE 2</t>
  </si>
  <si>
    <t xml:space="preserve">PHTE 2 Senzor  umiditate pentru jgheaburi </t>
  </si>
  <si>
    <t>PHTE 3</t>
  </si>
  <si>
    <t xml:space="preserve">PHTE 3 Senzor  temperatura pentru jgheaburi </t>
  </si>
  <si>
    <t xml:space="preserve">Cleme fixare cablu in jgheab 10 buc </t>
  </si>
  <si>
    <r>
      <t>2. Puterea instalata necesara pentru sistemul de degivrare in</t>
    </r>
    <r>
      <rPr>
        <b/>
        <sz val="9"/>
        <color theme="1"/>
        <rFont val="Verdana"/>
        <family val="2"/>
      </rPr>
      <t xml:space="preserve"> [ kW ]</t>
    </r>
    <r>
      <rPr>
        <sz val="9"/>
        <color theme="1"/>
        <rFont val="Verdana"/>
        <family val="2"/>
      </rPr>
      <t xml:space="preserve"> =</t>
    </r>
  </si>
  <si>
    <t>18.07.2024</t>
  </si>
  <si>
    <t>Corespondenta lungime (jgheab/burlan) cu cablu cu putere constanta 20W/ml</t>
  </si>
  <si>
    <t>Lungime 
totala [ml]</t>
  </si>
  <si>
    <t>Lungime cablu1 putere ct [ml]</t>
  </si>
  <si>
    <t>Lungime cablu2 putere ct [ml]</t>
  </si>
  <si>
    <t>Catre:</t>
  </si>
  <si>
    <r>
      <t>Localitate</t>
    </r>
    <r>
      <rPr>
        <sz val="9"/>
        <color theme="1"/>
        <rFont val="Verdana"/>
        <family val="2"/>
      </rPr>
      <t>:</t>
    </r>
  </si>
  <si>
    <t>MRC</t>
  </si>
  <si>
    <t>F32</t>
  </si>
  <si>
    <t>C16</t>
  </si>
  <si>
    <t>ET44</t>
  </si>
  <si>
    <t>S Control</t>
  </si>
  <si>
    <t>Cablu incalzire pardoseala - 20 W/ml, 5 mm grosime, montaj in sapa/adeziv</t>
  </si>
  <si>
    <t>Cablu incalzire pardoseala - 17 W/ml, 7 mm grosime, montaj sapa</t>
  </si>
  <si>
    <t>Cablu incalzire pardoseala - 10 W/ml, 7 mm grosime, montaj sapa</t>
  </si>
  <si>
    <t>Film carbon  incalzire prin pardoseala montaj sub parchet 120W/m², 60 cm latime</t>
  </si>
  <si>
    <r>
      <t xml:space="preserve">Rola MAGNUM Foil </t>
    </r>
    <r>
      <rPr>
        <b/>
        <sz val="9"/>
        <color theme="1"/>
        <rFont val="Verdana"/>
        <family val="2"/>
      </rPr>
      <t>120 W/m² -  60 cm latime</t>
    </r>
    <r>
      <rPr>
        <sz val="9"/>
        <color theme="1"/>
        <rFont val="Verdana"/>
        <family val="2"/>
      </rPr>
      <t xml:space="preserve"> [mp/rola]</t>
    </r>
  </si>
  <si>
    <t>Film carbon incalzire pardoseala montaj parchet 140W/m², 100 cm latime</t>
  </si>
  <si>
    <r>
      <t xml:space="preserve">Rola MAGNUM Foil </t>
    </r>
    <r>
      <rPr>
        <b/>
        <sz val="9"/>
        <color theme="1"/>
        <rFont val="Verdana"/>
        <family val="2"/>
      </rPr>
      <t>140 W/m² - 100 cm latime</t>
    </r>
    <r>
      <rPr>
        <sz val="9"/>
        <color theme="1"/>
        <rFont val="Verdana"/>
        <family val="2"/>
      </rPr>
      <t xml:space="preserve"> [mp/rola]</t>
    </r>
  </si>
  <si>
    <t xml:space="preserve"> mp</t>
  </si>
  <si>
    <t>Set conexiune folie MAGNUM pentru 10 m² folie</t>
  </si>
  <si>
    <r>
      <t xml:space="preserve">Dispozitiv de sertizare pentru MAGNUM Foil - </t>
    </r>
    <r>
      <rPr>
        <b/>
        <sz val="9"/>
        <color theme="1"/>
        <rFont val="Verdana"/>
        <family val="2"/>
      </rPr>
      <t>optional</t>
    </r>
  </si>
  <si>
    <t>Covor incalzire pardoseala 150 W/m² (50 cm latime) ~4 mm montaj adeziv</t>
  </si>
  <si>
    <t>Covor incalzire in pardoseala 1 m² - 150 W</t>
  </si>
  <si>
    <t>Covor incalzire in pardoseala 1,5 m² - 225 W</t>
  </si>
  <si>
    <t>Covor incalzire in pardoseala 2 m² - 300 W</t>
  </si>
  <si>
    <t>Covor incalzire in pardoseala 2,5 m² - 375 W</t>
  </si>
  <si>
    <t>Covor incalzire in pardoseala 3 m² - 450 W</t>
  </si>
  <si>
    <t>Covor incalzire in pardoseala 3,5 m² - 525 W</t>
  </si>
  <si>
    <t>Covor incalzire in pardoseala 4 m² - 600 W</t>
  </si>
  <si>
    <t>Covor incalzire in pardoseala 4,5 m² - 675 W</t>
  </si>
  <si>
    <t>Covor incalzire in pardoseala 5 m² - 750 W</t>
  </si>
  <si>
    <t>Covor incalzire in pardoseala 6 m² - 900 W</t>
  </si>
  <si>
    <t>Covor incalzire in pardoseala 7 m² - 1050 W</t>
  </si>
  <si>
    <t>Covor incalzire in pardoseala 8 m² - 1200 W</t>
  </si>
  <si>
    <t>Covor incalzire in pardoseala 9 m² - 1350 W</t>
  </si>
  <si>
    <t>Covor incalzire in pardoseala 10 m² - 1500 W</t>
  </si>
  <si>
    <t>Covor incalzire in pardoseala 12 m² - 1800 W C&amp;F</t>
  </si>
  <si>
    <t xml:space="preserve">Covor incalzire in pardoseala 15 m² - 2250 W C&amp;F </t>
  </si>
  <si>
    <t xml:space="preserve">Covor incalzire in pardoseala 20 m² - 3000 W C&amp;F </t>
  </si>
  <si>
    <t xml:space="preserve">Covor incalzire pardoseala aluminiu parchet 140 W/m² (50 cm latime), 3mm  </t>
  </si>
  <si>
    <t xml:space="preserve">Covor incalzire in pardoseala aluminiu 1 m² - 140 W </t>
  </si>
  <si>
    <t>Covor incalzire in pardoseala aluminiu 2 m² - 280 W</t>
  </si>
  <si>
    <t>Covor incalzire in pardoseala aluminiu 3 m² - 420 W</t>
  </si>
  <si>
    <t>Covor incalzire in pardoseala aluminiu 4 m² - 560 W</t>
  </si>
  <si>
    <t>Covor incalzire in pardoseala aluminiu 5 m² - 700 W</t>
  </si>
  <si>
    <t>Covor incalzire in pardoseala aluminiu 6 m² - 840 W</t>
  </si>
  <si>
    <t>Covor incalzire in pardoseala aluminiu 7 m² - 980 W</t>
  </si>
  <si>
    <t>Covor incalzire in pardoseala aluminiu 8 m² - 1120 W</t>
  </si>
  <si>
    <t>Covor incalzire in pardoseala aluminiu 9 m² - 1260 W</t>
  </si>
  <si>
    <t>Covor incalzire in pardoseala aluminiu 10 m² - 1400 W</t>
  </si>
  <si>
    <t xml:space="preserve">Folie dezaburire oglinda </t>
  </si>
  <si>
    <t>Folie dezaburire oglinda  ø35 cm , 50 W</t>
  </si>
  <si>
    <t xml:space="preserve">buc. </t>
  </si>
  <si>
    <t>Folie dezaburire oglinda 29 x 29 cm , 27 W</t>
  </si>
  <si>
    <t>Folie dezaburire oglinda 36 x 50 cm , 50 W</t>
  </si>
  <si>
    <t>Folie dezaburire oglinda 40 x 58 cm, 65 W</t>
  </si>
  <si>
    <t>Folie dezaburire oglinda 50 x 58 cm , 70 W</t>
  </si>
  <si>
    <t>Folie dezaburire oglinda 57 x 75 cm , 100 W</t>
  </si>
  <si>
    <t>Folie dezaburire oglinda 58 x 85 cm, 120 W</t>
  </si>
  <si>
    <t xml:space="preserve">Sistem uscat Heatboard electric 12mm (izolatie polistiren cu aluminiu)
pentru cablu 10 W/ml </t>
  </si>
  <si>
    <t xml:space="preserve">Izolatie polistiren cu aluminiu  12 mm / 11 placi 78x58 cm 
- 5 mp / pachet </t>
  </si>
  <si>
    <t xml:space="preserve">Cablu HeatBoard incalzire pardoseala - 10 W/ml </t>
  </si>
  <si>
    <t xml:space="preserve">Cablu incalzire in pardoseala 10 W / ml , 300 W , 30 ml / 3.4 mp </t>
  </si>
  <si>
    <t xml:space="preserve">Cablu incalzire in pardoseala 10 W / ml , 500 W , 50 ml / 5.6 mp </t>
  </si>
  <si>
    <t xml:space="preserve">Cablu incalzire in pardoseala 10 W / ml , 800 W , 80 ml / 8.9 mp </t>
  </si>
  <si>
    <t xml:space="preserve">Cablu incalzire in pardoseala 10 W / ml , 1000 W , 100 ml / 11.2 mp </t>
  </si>
  <si>
    <t xml:space="preserve">Cablu incalzire in pardoseala 10 W / ml , 1200 W , 120 ml / 13.4mp </t>
  </si>
  <si>
    <t xml:space="preserve">Cablu incalzire in pardoseala 10 W / ml , 1500 W , 150 ml / 16.7 mp </t>
  </si>
  <si>
    <t xml:space="preserve">Cablu incalzire in pardoseala 10 W / ml , 1900 W , 190 ml / 21.2 mp </t>
  </si>
  <si>
    <t xml:space="preserve">Cablu HeatBoard incalzire pardoseala - 6 W/ml </t>
  </si>
  <si>
    <t xml:space="preserve">Cablu incalzire in pardoseala 6 W / ml , 180 W , 30 ml </t>
  </si>
  <si>
    <t xml:space="preserve">Cablu incalzire in pardoseala 6 W / ml , 300 W , 50 ml </t>
  </si>
  <si>
    <t xml:space="preserve">Cablu incalzire in pardoseala 6 W / ml ,480 W , 80 ml </t>
  </si>
  <si>
    <t xml:space="preserve">Cablu incalzire in pardoseala 6 W / ml , 600 W , 100 ml </t>
  </si>
  <si>
    <t xml:space="preserve">Cablu incalzire in pardoseala 6 W / ml , 720 W , 120 ml </t>
  </si>
  <si>
    <t xml:space="preserve">Cablu incalzire in pardoseala 6 W / ml , 900 W , 150 ml </t>
  </si>
  <si>
    <t xml:space="preserve">Cablu incalzire in pardoseala 6 W / ml , 1140 W , 190 ml </t>
  </si>
  <si>
    <t xml:space="preserve"> Panouri Radiante Infrarosu </t>
  </si>
  <si>
    <t>Panou Radiant infrarosu  59 x 59 x 4 cm, 300 W</t>
  </si>
  <si>
    <t>Panou Radiant infrarosu 119 x 59 x 4 cm, 600 W</t>
  </si>
  <si>
    <t xml:space="preserve"> Panouri Radiante Infrarosu Premium</t>
  </si>
  <si>
    <t>Panou Radiant infrarosu  59.2 x 59.2 x 4 cm, 300 W</t>
  </si>
  <si>
    <t>Panou Radiant infrarosu 119.2 x 59.2 x 4 cm, 600 W</t>
  </si>
  <si>
    <t>Termostate pentru incalzirea electrica prin pardoseala Magnum si accesorii</t>
  </si>
  <si>
    <r>
      <t xml:space="preserve">Cronotermostat MAGNUM </t>
    </r>
    <r>
      <rPr>
        <b/>
        <sz val="9"/>
        <color theme="1"/>
        <rFont val="Verdana"/>
        <family val="2"/>
      </rPr>
      <t>MRC</t>
    </r>
    <r>
      <rPr>
        <sz val="9"/>
        <color theme="1"/>
        <rFont val="Verdana"/>
        <family val="2"/>
      </rPr>
      <t xml:space="preserve"> -</t>
    </r>
    <r>
      <rPr>
        <b/>
        <sz val="9"/>
        <color theme="1"/>
        <rFont val="Verdana"/>
        <family val="2"/>
      </rPr>
      <t xml:space="preserve"> WIFi Control </t>
    </r>
    <r>
      <rPr>
        <sz val="9"/>
        <color theme="1"/>
        <rFont val="Verdana"/>
        <family val="2"/>
      </rPr>
      <t>, cu senzor de pardoseala inclus (montaj in doza)</t>
    </r>
  </si>
  <si>
    <r>
      <t xml:space="preserve">Cronotermostat MAGNUM </t>
    </r>
    <r>
      <rPr>
        <b/>
        <sz val="9"/>
        <color theme="1"/>
        <rFont val="Verdana"/>
        <family val="2"/>
      </rPr>
      <t xml:space="preserve">F32 - WIFi Control </t>
    </r>
    <r>
      <rPr>
        <sz val="9"/>
        <color theme="1"/>
        <rFont val="Verdana"/>
        <family val="2"/>
      </rPr>
      <t>, cu senzor de pardoseala inclus (montaj in doza)</t>
    </r>
  </si>
  <si>
    <r>
      <t xml:space="preserve">Cronotermostat </t>
    </r>
    <r>
      <rPr>
        <b/>
        <sz val="9"/>
        <color theme="1"/>
        <rFont val="Verdana"/>
        <family val="2"/>
      </rPr>
      <t xml:space="preserve">C16 - WiFi Control </t>
    </r>
    <r>
      <rPr>
        <sz val="9"/>
        <color theme="1"/>
        <rFont val="Verdana"/>
        <family val="2"/>
      </rPr>
      <t>, cu senzor de pardoseala inclus (montaj in doza) - varianta</t>
    </r>
  </si>
  <si>
    <r>
      <t xml:space="preserve">Termostat </t>
    </r>
    <r>
      <rPr>
        <b/>
        <sz val="9"/>
        <color theme="1"/>
        <rFont val="Verdana"/>
        <family val="2"/>
      </rPr>
      <t xml:space="preserve">ET-44  - WiIFi Control </t>
    </r>
    <r>
      <rPr>
        <sz val="9"/>
        <color theme="1"/>
        <rFont val="Verdana"/>
        <family val="2"/>
      </rPr>
      <t xml:space="preserve">, cu senzor de pardoseala inclus (montaj in doza) </t>
    </r>
  </si>
  <si>
    <r>
      <t xml:space="preserve">Termostat analogic  </t>
    </r>
    <r>
      <rPr>
        <b/>
        <sz val="9"/>
        <color theme="1"/>
        <rFont val="Verdana"/>
        <family val="2"/>
      </rPr>
      <t>S Control On/Off</t>
    </r>
    <r>
      <rPr>
        <sz val="9"/>
        <color theme="1"/>
        <rFont val="Verdana"/>
        <family val="2"/>
      </rPr>
      <t>, cu senzor de pardoseala inclus</t>
    </r>
  </si>
  <si>
    <r>
      <t xml:space="preserve">Termostat analogic </t>
    </r>
    <r>
      <rPr>
        <b/>
        <sz val="9"/>
        <color theme="1"/>
        <rFont val="Verdana"/>
        <family val="2"/>
      </rPr>
      <t>MTH 811</t>
    </r>
    <r>
      <rPr>
        <sz val="9"/>
        <color theme="1"/>
        <rFont val="Verdana"/>
        <family val="2"/>
      </rPr>
      <t>, cu senzor de pardoseala inclus, 16 A/230 V (montaj aparent)</t>
    </r>
  </si>
  <si>
    <r>
      <t xml:space="preserve">Senzor de pardoseala </t>
    </r>
    <r>
      <rPr>
        <b/>
        <sz val="9"/>
        <color theme="1"/>
        <rFont val="Verdana"/>
        <family val="2"/>
      </rPr>
      <t>ETF-144</t>
    </r>
  </si>
  <si>
    <r>
      <t xml:space="preserve">Izolatie pentru gresie Isoplate 3 m² (5 buc. de 60 x 100
 x 1 cm) - </t>
    </r>
    <r>
      <rPr>
        <b/>
        <sz val="9"/>
        <rFont val="Verdana"/>
        <family val="2"/>
      </rPr>
      <t>optional</t>
    </r>
  </si>
  <si>
    <r>
      <t xml:space="preserve">Izolatie pentru gresie Isoplate 4,8 m² (8 buc. de 60 x 100 
x 0,6 cm) - </t>
    </r>
    <r>
      <rPr>
        <b/>
        <sz val="9"/>
        <rFont val="Verdana"/>
        <family val="2"/>
      </rPr>
      <t>optional</t>
    </r>
  </si>
  <si>
    <t>mp</t>
  </si>
  <si>
    <r>
      <t xml:space="preserve">Izolatie Isorol </t>
    </r>
    <r>
      <rPr>
        <b/>
        <sz val="9"/>
        <color theme="1"/>
        <rFont val="Verdana"/>
        <family val="2"/>
      </rPr>
      <t>3 mm</t>
    </r>
    <r>
      <rPr>
        <sz val="9"/>
        <color theme="1"/>
        <rFont val="Verdana"/>
        <family val="2"/>
      </rPr>
      <t>, 20 m x 1.2 m (</t>
    </r>
    <r>
      <rPr>
        <b/>
        <sz val="9"/>
        <color theme="1"/>
        <rFont val="Verdana"/>
        <family val="2"/>
      </rPr>
      <t>24 mp</t>
    </r>
    <r>
      <rPr>
        <sz val="9"/>
        <color theme="1"/>
        <rFont val="Verdana"/>
        <family val="2"/>
      </rPr>
      <t>) cu folie aluminiu</t>
    </r>
  </si>
  <si>
    <t>W90100</t>
  </si>
  <si>
    <r>
      <t>Folie reflectorizanta aluminiu 20 m x 1.5 m (</t>
    </r>
    <r>
      <rPr>
        <b/>
        <sz val="9"/>
        <color theme="1"/>
        <rFont val="Verdana"/>
        <family val="2"/>
      </rPr>
      <t>30 mp</t>
    </r>
    <r>
      <rPr>
        <sz val="9"/>
        <color theme="1"/>
        <rFont val="Verdana"/>
        <family val="2"/>
      </rPr>
      <t>)</t>
    </r>
  </si>
  <si>
    <t>W91111</t>
  </si>
  <si>
    <t>Banda perimetrala 15 cm x 8 mm (25 m)</t>
  </si>
  <si>
    <t>Banda metalica fixare cablu 10 m - optional</t>
  </si>
  <si>
    <r>
      <t xml:space="preserve">Va multumim pentru cererea de oferta si va prezentam mai jos propunerea noastra cu repere  </t>
    </r>
    <r>
      <rPr>
        <b/>
        <sz val="9"/>
        <color theme="1"/>
        <rFont val="Verdana"/>
        <family val="2"/>
      </rPr>
      <t>Magnum Heating - Olanda.</t>
    </r>
  </si>
  <si>
    <t xml:space="preserve">Materiale MAGNUM </t>
  </si>
  <si>
    <r>
      <t xml:space="preserve">Izolatie pentru parchet MAGNUM </t>
    </r>
    <r>
      <rPr>
        <b/>
        <sz val="9"/>
        <color theme="1"/>
        <rFont val="Verdana"/>
        <family val="2"/>
      </rPr>
      <t>PS 6</t>
    </r>
    <r>
      <rPr>
        <sz val="9"/>
        <color theme="1"/>
        <rFont val="Verdana"/>
        <family val="2"/>
      </rPr>
      <t xml:space="preserve"> m² (10 buc. de 80 x 62 x 0,5 cm)</t>
    </r>
  </si>
  <si>
    <t>Covor degivrare exterior  2 m² - 400 W (0,5 x 4 m)</t>
  </si>
  <si>
    <t>Covor degivrare exterior  5 m² - 1000 W (0,5 x 10 m)</t>
  </si>
  <si>
    <t>Covor degivrare exterior  8 m² - 1600 W (0,5 x 16 m)</t>
  </si>
  <si>
    <t>Covor degivrare exterior 10 m² - 2000 W (0,5 x 20 m)</t>
  </si>
  <si>
    <t>Covor degivrare exterior  2 m² - 600 W (0,5 x 4 m)</t>
  </si>
  <si>
    <t>Covor degivrare exterior  5 m² - 1500 W (0,5 x 10 m)</t>
  </si>
  <si>
    <t>Covor degivrare exterior  8 m² - 2400 W (0,5 x 16 m)</t>
  </si>
  <si>
    <t>Covor degivrare exterior  10 m² - 3000 W (0,5 x 20 m)</t>
  </si>
  <si>
    <t>Accesorii cablu autoreglabil</t>
  </si>
  <si>
    <t xml:space="preserve">Chit cablu degivrare jgheaburi/burlane cu stecher cablu alimentare si termostat 30 W / ml </t>
  </si>
  <si>
    <t>Chit cablu protectie inghet jgheaburi 300 Watt / 10 m. / 230 Volt</t>
  </si>
  <si>
    <t>Chit cablu protectie inghet jgheaburi 450 Watt / 15 m. / 230 Volt</t>
  </si>
  <si>
    <t>Chit cablu protectie inghet jgheaburi 600 Watt / 20 m. / 230 Volt</t>
  </si>
  <si>
    <t>Chit cablu protectie inghet jgheaburi 750 Watt / 25 m. / 230 Volt</t>
  </si>
  <si>
    <t>Chit cablu protectie inghet jgheaburi 900 Watt / 30 m. / 230 Volt</t>
  </si>
  <si>
    <t>Chit cablu protectie inghet jgheaburi 1200 Watt / 40 m. / 230 Volt</t>
  </si>
  <si>
    <t>Chit cablu protectie inghet jgheaburi 1500 Watt / 50 m. / 230 Volt</t>
  </si>
  <si>
    <t>Putere kit cablu 1
 [W]</t>
  </si>
  <si>
    <t>Corespondenta lungime (jgheab/burlan) cu cablu cu putere constanta 30W/ml</t>
  </si>
  <si>
    <t>03.03.2025</t>
  </si>
  <si>
    <t>SNEGVOL</t>
  </si>
  <si>
    <t>TOTAL</t>
  </si>
  <si>
    <t>HCC - 01  Termostat temperatura / umiditate  3 x 16A - 230 Volt</t>
  </si>
  <si>
    <t>PHTE 1 Senzor  temperatura / umiditate pentru pardoseala</t>
  </si>
  <si>
    <t>ETR 2-Termostat temperatura / umiditate  1 x 16A - 230 Volt</t>
  </si>
  <si>
    <t>ETO-4550 Termostat temperatura / umiditate  3 x 16A - 230 Volt</t>
  </si>
  <si>
    <t xml:space="preserve">Banda metalica fixare cablu 10 m este optionala </t>
  </si>
  <si>
    <t>Materiale sistem degivrare electrica jgheab/burlan 100-150</t>
  </si>
  <si>
    <t xml:space="preserve">Tronson </t>
  </si>
  <si>
    <t>SNEGOSA</t>
  </si>
  <si>
    <t>Set  Termostat digital  + senzor temperatura / Umiditate 1 x 16A - 230 Volt pardoseala</t>
  </si>
  <si>
    <t>Cablu incalzire/degivrare - 20 W/ml, 5 mm grosime (d=75-120mm)</t>
  </si>
  <si>
    <t>Set  Termostat digital  + senzor temperatura / umiditate 1 x 16A - 230 Volt jgheab</t>
  </si>
  <si>
    <t>ETO-4550 Termostat temperatura / umiditate 3 x 16A - 230 Volt</t>
  </si>
  <si>
    <t>Cablu degivrare putere constanta (30 W/m) exterior 7 mm grosime montaj asfalt</t>
  </si>
  <si>
    <t>ETI</t>
  </si>
  <si>
    <t xml:space="preserve">             ETN</t>
  </si>
  <si>
    <t>SN</t>
  </si>
  <si>
    <t>HCC - 01  Termostat digital  temperatura / Umiditate  3 x 16A - 230 Volt</t>
  </si>
  <si>
    <t>HCC - 02 Termostat temperatura / Umiditate 1 x 16A - 230 Volt</t>
  </si>
  <si>
    <t>Set  Termostat digital  + senzor temperatura / Umiditate 1 x 16A - 230 Volt jgheab</t>
  </si>
  <si>
    <t xml:space="preserve">Set  Termostat digital  + senzor temperatura  1 x 32A - 230 Volt </t>
  </si>
  <si>
    <t xml:space="preserve">ETN-4 Termostat digital-20 / + 70 degrees 16A - 230 Volt </t>
  </si>
  <si>
    <t>ETF-623 Senzor de conducta -40/+120°C</t>
  </si>
  <si>
    <t xml:space="preserve">ETF-744/99 senzor temperatura exterioara </t>
  </si>
  <si>
    <t>ETOR 55 Senzor  umiditate pentru pardoseala jgheab</t>
  </si>
  <si>
    <r>
      <t xml:space="preserve">Furnizor: </t>
    </r>
    <r>
      <rPr>
        <b/>
        <sz val="26"/>
        <rFont val="MS Sans Serif"/>
      </rPr>
      <t>MAGNUM HEATING SRL</t>
    </r>
    <r>
      <rPr>
        <b/>
        <sz val="10"/>
        <rFont val="MS Sans Serif"/>
      </rPr>
      <t xml:space="preserve">
Reg. com: J40/8589/2014
CIF: RO33404978
Adresa: Intr. Invingatorilor nr. 27A, Bucuresti, Jud. sector 3
IBAN : RO56INGB0000999915150915
Banca: ING BANK NV
</t>
    </r>
  </si>
  <si>
    <t xml:space="preserve">Cleme fixare cablu in jgheab 10 buc / set </t>
  </si>
  <si>
    <t>banda jgheab = 1ml banda / 1ml jgheab; d = 120-150m</t>
  </si>
  <si>
    <t>banda burlan = 1ml banda /  4ml burlan; d = 75-120mm</t>
  </si>
  <si>
    <t xml:space="preserve">banda burlan = 1ml banda / 3ml burlan; d = 120-150mm </t>
  </si>
  <si>
    <t>Putere necesara</t>
  </si>
  <si>
    <t>EE26*1200</t>
  </si>
  <si>
    <t>NECESAR BANDA MONTAJ PT. JGHEABURI SI BURLANE</t>
  </si>
  <si>
    <t>Putere constanta 30W/ml</t>
  </si>
  <si>
    <t>Putere constanta 20W/ml</t>
  </si>
  <si>
    <r>
      <t xml:space="preserve">Producator Magnum Heating Olanda: </t>
    </r>
    <r>
      <rPr>
        <sz val="9"/>
        <color theme="1"/>
        <rFont val="Verdana"/>
        <family val="2"/>
      </rPr>
      <t>http://www.magnumheating.com</t>
    </r>
  </si>
  <si>
    <t>Cablu degivrare putere constanta (30 W/m) Exterior 7 mm grosime (d=75-120-150mm)</t>
  </si>
  <si>
    <r>
      <t>2. Puterea instalata minima necesara pentru sistemul de degivrare in</t>
    </r>
    <r>
      <rPr>
        <b/>
        <sz val="9"/>
        <color theme="1"/>
        <rFont val="Verdana"/>
        <family val="2"/>
      </rPr>
      <t xml:space="preserve">   [ kW ]</t>
    </r>
    <r>
      <rPr>
        <sz val="9"/>
        <color theme="1"/>
        <rFont val="Verdana"/>
        <family val="2"/>
      </rPr>
      <t xml:space="preserve">  =</t>
    </r>
  </si>
  <si>
    <r>
      <t xml:space="preserve">2. Puterea instalata minima necesara pentru sistemul de degivrare in  </t>
    </r>
    <r>
      <rPr>
        <b/>
        <sz val="9"/>
        <color theme="1"/>
        <rFont val="Verdana"/>
        <family val="2"/>
      </rPr>
      <t xml:space="preserve"> [ kW ]</t>
    </r>
    <r>
      <rPr>
        <sz val="9"/>
        <color theme="1"/>
        <rFont val="Verdana"/>
        <family val="2"/>
      </rPr>
      <t xml:space="preserve">  =</t>
    </r>
  </si>
  <si>
    <r>
      <t>Diametru 
[mm]</t>
    </r>
    <r>
      <rPr>
        <b/>
        <sz val="8"/>
        <color rgb="FFFF0000"/>
        <rFont val="Verdana"/>
        <family val="2"/>
      </rPr>
      <t>15/
20/25/30/
40/50/100</t>
    </r>
  </si>
  <si>
    <t>Kit degivrare electrica jgheab/burlan (d=120-150mm)</t>
  </si>
  <si>
    <t>Necesar W/ ml</t>
  </si>
  <si>
    <t>Cablu incalzire/degivrare putere constanta - 20 W/ml, 7 mm grosime</t>
  </si>
  <si>
    <t>Folie dezaburire oglinda 57 x 110 cm, 150 W</t>
  </si>
  <si>
    <t xml:space="preserve">Magnum DuoBoard 1200x600 , 3 mm , 2,8 mp </t>
  </si>
  <si>
    <t>W90101</t>
  </si>
  <si>
    <t>Folie reflectorizanta aluminiu 50 m x 1.5 m (75 mp)</t>
  </si>
  <si>
    <t>W92055</t>
  </si>
  <si>
    <t>Banda perimetrala 10 cm x 5 mm (25 m)</t>
  </si>
  <si>
    <t xml:space="preserve">Bariera de umiditate 0,1 mm  , 400 mm x 300 mm - 12 mp </t>
  </si>
  <si>
    <t>Incalzire electrica pardoseala MAGNUM Membrana Antifisurare</t>
  </si>
  <si>
    <t>MAGNUM Membrana Antifisurare - 3 m² / buc (4 folii)</t>
  </si>
  <si>
    <t>MAGNUM Membrana Antifisurare - 5 m² / buc rola</t>
  </si>
  <si>
    <t>MAGNUM Membrana Antifisurare Cablu 150W ( 150 W/mp - 1m2) -
( 113 W/mp - 1,3m2)</t>
  </si>
  <si>
    <t>MAGNUM Membrana Antifisurare Cablu 225W (150 W/mp - 1,5m2) -
 ( 113 W/mp - 2m2)</t>
  </si>
  <si>
    <t>MAGNUM Membrana Antifisurare Cablu 300W (150 W/mp - 2m2) - 
( 113 W/mp - 2,6m2)</t>
  </si>
  <si>
    <t>MAGNUM Membrana Antifisurare Cablu 375W (150 W/mp - 2,5m2) - 
( 113 W/mp - 3,3m2)</t>
  </si>
  <si>
    <t>MAGNUM Membrana Antifisurare Cablu 450W (150 W/mp - 3m2) - 
( 113 W/mp - 4m2)</t>
  </si>
  <si>
    <t>MAGNUM Membrana Antifisurare Cablu 525W (150 W/mp - 3,5m2) - 
( 113 W/mp - 4,6m2)</t>
  </si>
  <si>
    <t>MAGNUM Membrana Antifisurare Cablu 600W (150 W/mp - 4m2) - 
( 113 W/mp - 5,3m2)</t>
  </si>
  <si>
    <t>MAGNUM Membrana Antifisurare Cablu 675W (150 W/mp - 4,5m2) - 
( 113 W/mp - 6m2)</t>
  </si>
  <si>
    <t>MAGNUM Membrana Antifisurare Cablu 750W (150 W/mp - 5m2) - 
( 113 W/mp - 6,6m2)</t>
  </si>
  <si>
    <t>MAGNUM Membrana Antifisurare Cablu 900W (150 W/mp - 6m2) - 
( 113 W/mp - 8m2)</t>
  </si>
  <si>
    <t>MAGNUM Membrana Antifisurare Cablu 1050W (150 W/mp - 7m2) - 
( 113 W/mp - 9,3m2)</t>
  </si>
  <si>
    <t>MAGNUM Membrana Antifisurare Cablu 1200W (150 W/mp - 8m2) - 
( 113 W/mp - 10,6m2)</t>
  </si>
  <si>
    <t>MAGNUM Membrana Antifisurare Cablu 1500W (150 W/mp - 10m2) - 
( 113 W/mp - 13,3m2)</t>
  </si>
  <si>
    <t>MAGNUM Membrana Antifisurare Cablu 1800W (150 W/mp - 12m2) - 
( 113 W/mp - 15,9m2)</t>
  </si>
  <si>
    <t>MAGNUM Membrana Antifisurare Cablu 2250W (150 W/mp - 15m2) - 
( 113 W/mp - 19,9m2)</t>
  </si>
  <si>
    <t>Cablu  incalzitor autoreglabil</t>
  </si>
  <si>
    <t>Oferta nr. / 01.04.2026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</si>
</sst>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164" formatCode="0.0"/>
    <numFmt numFmtId="165" formatCode="#,##0.00;\-#,##0.00;&quot;-&quot;"/>
    <numFmt numFmtId="166" formatCode="#,##0;\-#,##0;&quot;-&quot;"/>
    <numFmt numFmtId="167" formatCode="0.000"/>
    <numFmt numFmtId="168" formatCode="0;[Red]0"/>
  </numFmts>
  <fonts count="8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charset val="238"/>
      <scheme val="minor"/>
    </font>
    <font>
      <sz val="9"/>
      <color theme="1"/>
      <name val="Verdana"/>
      <family val="2"/>
    </font>
    <font>
      <b/>
      <sz val="9"/>
      <color rgb="FF000000"/>
      <name val="Verdana"/>
      <family val="2"/>
    </font>
    <font>
      <b/>
      <sz val="9"/>
      <color theme="1"/>
      <name val="Verdana"/>
      <family val="2"/>
    </font>
    <font>
      <sz val="11"/>
      <color theme="1"/>
      <name val="Calibri"/>
      <family val="2"/>
      <charset val="238"/>
      <scheme val="minor"/>
    </font>
    <font>
      <sz val="10"/>
      <name val="Arial"/>
      <family val="2"/>
    </font>
    <font>
      <u/>
      <sz val="9"/>
      <color theme="10"/>
      <name val="Verdana"/>
      <family val="2"/>
    </font>
    <font>
      <i/>
      <sz val="11"/>
      <color rgb="FF7F7F7F"/>
      <name val="Calibri"/>
      <family val="2"/>
      <scheme val="minor"/>
    </font>
    <font>
      <b/>
      <sz val="10"/>
      <name val="MS Sans Serif"/>
    </font>
    <font>
      <b/>
      <sz val="26"/>
      <name val="MS Sans Serif"/>
    </font>
    <font>
      <b/>
      <sz val="9"/>
      <color theme="1"/>
      <name val="Calibri"/>
      <family val="2"/>
    </font>
    <font>
      <b/>
      <sz val="9"/>
      <color rgb="FFFF0000"/>
      <name val="Verdana"/>
      <family val="2"/>
    </font>
    <font>
      <sz val="8"/>
      <name val="Calibri"/>
      <family val="2"/>
      <charset val="238"/>
      <scheme val="minor"/>
    </font>
    <font>
      <sz val="9"/>
      <name val="Verdana"/>
      <family val="2"/>
    </font>
    <font>
      <b/>
      <sz val="16"/>
      <color theme="1"/>
      <name val="Verdana"/>
      <family val="2"/>
    </font>
    <font>
      <b/>
      <sz val="16"/>
      <color theme="1"/>
      <name val="Calibri"/>
      <family val="2"/>
      <charset val="238"/>
      <scheme val="minor"/>
    </font>
    <font>
      <sz val="9"/>
      <color indexed="81"/>
      <name val="Segoe UI"/>
      <family val="2"/>
    </font>
    <font>
      <b/>
      <sz val="9"/>
      <color indexed="81"/>
      <name val="Segoe UI"/>
      <family val="2"/>
    </font>
    <font>
      <b/>
      <sz val="9"/>
      <name val="Verdana"/>
      <family val="2"/>
    </font>
    <font>
      <b/>
      <sz val="10"/>
      <color theme="1"/>
      <name val="Verdana"/>
      <family val="2"/>
    </font>
    <font>
      <sz val="10"/>
      <color theme="1"/>
      <name val="Verdana"/>
      <family val="2"/>
    </font>
    <font>
      <b/>
      <sz val="10"/>
      <name val="Verdana"/>
      <family val="2"/>
    </font>
    <font>
      <sz val="10"/>
      <color theme="1"/>
      <name val="Calibri"/>
      <family val="2"/>
      <charset val="238"/>
      <scheme val="minor"/>
    </font>
    <font>
      <b/>
      <u/>
      <sz val="16"/>
      <color theme="1"/>
      <name val="Verdana"/>
      <family val="2"/>
    </font>
    <font>
      <u/>
      <sz val="16"/>
      <color theme="1"/>
      <name val="Calibri"/>
      <family val="2"/>
      <charset val="238"/>
      <scheme val="minor"/>
    </font>
    <font>
      <sz val="16"/>
      <color theme="1"/>
      <name val="Calibri"/>
      <family val="2"/>
      <charset val="238"/>
      <scheme val="minor"/>
    </font>
    <font>
      <b/>
      <sz val="10"/>
      <color theme="1"/>
      <name val="Calibri"/>
      <family val="2"/>
      <charset val="238"/>
      <scheme val="minor"/>
    </font>
    <font>
      <b/>
      <sz val="11"/>
      <color theme="1"/>
      <name val="Calibri"/>
      <family val="2"/>
      <charset val="238"/>
      <scheme val="minor"/>
    </font>
    <font>
      <b/>
      <sz val="7"/>
      <color theme="1"/>
      <name val="Verdana"/>
      <family val="2"/>
    </font>
    <font>
      <sz val="9"/>
      <color rgb="FF0D0D0D"/>
      <name val="Verdana"/>
      <family val="2"/>
    </font>
    <font>
      <sz val="9"/>
      <color theme="10"/>
      <name val="Verdana"/>
      <family val="2"/>
    </font>
    <font>
      <b/>
      <sz val="7"/>
      <color theme="0"/>
      <name val="Verdana"/>
      <family val="2"/>
    </font>
    <font>
      <b/>
      <sz val="9"/>
      <color theme="0"/>
      <name val="Verdana"/>
      <family val="2"/>
    </font>
    <font>
      <sz val="9"/>
      <color theme="0"/>
      <name val="Verdana"/>
      <family val="2"/>
    </font>
    <font>
      <b/>
      <sz val="16"/>
      <color rgb="FFFF0000"/>
      <name val="Verdana"/>
      <family val="2"/>
    </font>
    <font>
      <b/>
      <sz val="8"/>
      <color theme="1"/>
      <name val="Verdana"/>
      <family val="2"/>
    </font>
    <font>
      <b/>
      <sz val="12"/>
      <color rgb="FFFF0000"/>
      <name val="Verdana"/>
      <family val="2"/>
    </font>
    <font>
      <b/>
      <sz val="12"/>
      <color theme="1"/>
      <name val="Verdana"/>
      <family val="2"/>
    </font>
    <font>
      <b/>
      <sz val="12"/>
      <name val="Verdana"/>
      <family val="2"/>
    </font>
    <font>
      <sz val="9"/>
      <color theme="1"/>
      <name val="Calibri"/>
      <family val="2"/>
      <charset val="238"/>
      <scheme val="minor"/>
    </font>
    <font>
      <b/>
      <sz val="10"/>
      <color theme="1"/>
      <name val="Calibri"/>
      <family val="2"/>
    </font>
    <font>
      <sz val="11"/>
      <color rgb="FF000000"/>
      <name val="Calibri"/>
      <family val="2"/>
      <charset val="204"/>
    </font>
    <font>
      <b/>
      <sz val="14"/>
      <color theme="1"/>
      <name val="Verdana"/>
      <family val="2"/>
    </font>
    <font>
      <sz val="11"/>
      <color theme="0"/>
      <name val="Calibri"/>
      <family val="2"/>
      <charset val="238"/>
      <scheme val="minor"/>
    </font>
    <font>
      <b/>
      <sz val="16"/>
      <color rgb="FF00E668"/>
      <name val="Verdana"/>
      <family val="2"/>
    </font>
    <font>
      <b/>
      <sz val="12"/>
      <color theme="0"/>
      <name val="Verdana"/>
      <family val="2"/>
    </font>
    <font>
      <sz val="9"/>
      <color rgb="FF000000"/>
      <name val="Verdana"/>
      <family val="2"/>
    </font>
    <font>
      <sz val="10"/>
      <name val="Verdana"/>
      <family val="2"/>
    </font>
    <font>
      <b/>
      <sz val="9"/>
      <color theme="1"/>
      <name val="Verdana"/>
      <family val="2"/>
      <charset val="238"/>
    </font>
    <font>
      <sz val="9"/>
      <color theme="1"/>
      <name val="Verdana"/>
      <family val="2"/>
      <charset val="238"/>
    </font>
    <font>
      <sz val="16"/>
      <name val="Verdana"/>
      <family val="2"/>
      <charset val="238"/>
    </font>
    <font>
      <sz val="16"/>
      <color rgb="FFFF0000"/>
      <name val="Verdana"/>
      <family val="2"/>
      <charset val="238"/>
    </font>
    <font>
      <sz val="12"/>
      <color rgb="FFFF0000"/>
      <name val="Verdana"/>
      <family val="2"/>
      <charset val="238"/>
    </font>
    <font>
      <sz val="12"/>
      <color theme="1"/>
      <name val="Verdana"/>
      <family val="2"/>
      <charset val="238"/>
    </font>
    <font>
      <b/>
      <sz val="10"/>
      <color theme="1"/>
      <name val="Verdana"/>
      <family val="2"/>
      <charset val="238"/>
    </font>
    <font>
      <b/>
      <sz val="9"/>
      <color rgb="FF0070C0"/>
      <name val="Verdana"/>
      <family val="2"/>
    </font>
    <font>
      <b/>
      <sz val="18"/>
      <color theme="1"/>
      <name val="Calibri"/>
      <family val="2"/>
      <scheme val="minor"/>
    </font>
    <font>
      <b/>
      <sz val="16"/>
      <color rgb="FF10F105"/>
      <name val="Verdana"/>
      <family val="2"/>
    </font>
    <font>
      <b/>
      <sz val="9"/>
      <color indexed="81"/>
      <name val="Tahoma"/>
      <family val="2"/>
    </font>
    <font>
      <sz val="6"/>
      <color rgb="FF000118"/>
      <name val="Nunito Sans"/>
    </font>
    <font>
      <b/>
      <sz val="11"/>
      <name val="Calibri"/>
      <family val="2"/>
      <charset val="238"/>
      <scheme val="minor"/>
    </font>
    <font>
      <sz val="9"/>
      <color rgb="FFFF0000"/>
      <name val="Verdana"/>
      <family val="2"/>
    </font>
    <font>
      <sz val="11"/>
      <color theme="1"/>
      <name val="Verdana"/>
      <family val="2"/>
    </font>
    <font>
      <sz val="10"/>
      <color theme="1"/>
      <name val="Arial"/>
      <family val="2"/>
    </font>
    <font>
      <sz val="9"/>
      <color indexed="81"/>
      <name val="Tahoma"/>
      <family val="2"/>
    </font>
    <font>
      <b/>
      <sz val="14"/>
      <color rgb="FFFF0000"/>
      <name val="Verdana"/>
      <family val="2"/>
    </font>
    <font>
      <b/>
      <sz val="11"/>
      <color theme="0"/>
      <name val="Calibri"/>
      <family val="2"/>
      <charset val="238"/>
      <scheme val="minor"/>
    </font>
    <font>
      <b/>
      <u/>
      <sz val="16"/>
      <name val="Verdana"/>
      <family val="2"/>
    </font>
    <font>
      <u/>
      <sz val="16"/>
      <name val="Calibri"/>
      <family val="2"/>
      <charset val="238"/>
      <scheme val="minor"/>
    </font>
    <font>
      <sz val="16"/>
      <name val="Calibri"/>
      <family val="2"/>
      <charset val="238"/>
      <scheme val="minor"/>
    </font>
    <font>
      <b/>
      <sz val="10"/>
      <color theme="0"/>
      <name val="Verdana"/>
      <family val="2"/>
    </font>
    <font>
      <b/>
      <sz val="11"/>
      <color rgb="FFFF0000"/>
      <name val="Calibri"/>
      <family val="2"/>
      <charset val="238"/>
      <scheme val="minor"/>
    </font>
    <font>
      <b/>
      <sz val="9"/>
      <color rgb="FFFF0000"/>
      <name val="Calibri"/>
      <family val="2"/>
      <charset val="238"/>
      <scheme val="minor"/>
    </font>
    <font>
      <sz val="11"/>
      <name val="Calibri"/>
      <family val="2"/>
      <charset val="238"/>
      <scheme val="minor"/>
    </font>
    <font>
      <sz val="10"/>
      <name val="Calibri"/>
      <family val="2"/>
      <charset val="238"/>
      <scheme val="minor"/>
    </font>
    <font>
      <b/>
      <u/>
      <sz val="10"/>
      <name val="Verdana"/>
      <family val="2"/>
    </font>
    <font>
      <sz val="11"/>
      <color rgb="FFFF0000"/>
      <name val="Calibri"/>
      <family val="2"/>
      <charset val="238"/>
      <scheme val="minor"/>
    </font>
    <font>
      <b/>
      <sz val="8"/>
      <color rgb="FFFF0000"/>
      <name val="Verdana"/>
      <family val="2"/>
    </font>
  </fonts>
  <fills count="14">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10F105"/>
        <bgColor indexed="64"/>
      </patternFill>
    </fill>
    <fill>
      <patternFill patternType="solid">
        <fgColor rgb="FFFF99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A66BD3"/>
        <bgColor indexed="64"/>
      </patternFill>
    </fill>
  </fills>
  <borders count="105">
    <border>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indexed="64"/>
      </left>
      <right style="thick">
        <color indexed="64"/>
      </right>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ck">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auto="1"/>
      </bottom>
      <diagonal/>
    </border>
    <border>
      <left/>
      <right/>
      <top style="hair">
        <color auto="1"/>
      </top>
      <bottom style="hair">
        <color auto="1"/>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medium">
        <color indexed="64"/>
      </bottom>
      <diagonal/>
    </border>
    <border>
      <left style="thin">
        <color indexed="64"/>
      </left>
      <right/>
      <top style="medium">
        <color indexed="64"/>
      </top>
      <bottom style="thick">
        <color indexed="64"/>
      </bottom>
      <diagonal/>
    </border>
    <border>
      <left/>
      <right style="thick">
        <color indexed="64"/>
      </right>
      <top/>
      <bottom/>
      <diagonal/>
    </border>
    <border>
      <left/>
      <right style="thick">
        <color indexed="64"/>
      </right>
      <top style="thin">
        <color auto="1"/>
      </top>
      <bottom style="thin">
        <color auto="1"/>
      </bottom>
      <diagonal/>
    </border>
    <border>
      <left/>
      <right style="medium">
        <color indexed="64"/>
      </right>
      <top style="medium">
        <color indexed="64"/>
      </top>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bottom/>
      <diagonal/>
    </border>
    <border>
      <left/>
      <right style="medium">
        <color indexed="64"/>
      </right>
      <top style="thick">
        <color indexed="64"/>
      </top>
      <bottom style="medium">
        <color indexed="64"/>
      </bottom>
      <diagonal/>
    </border>
    <border>
      <left/>
      <right style="thin">
        <color indexed="64"/>
      </right>
      <top style="thick">
        <color indexed="64"/>
      </top>
      <bottom style="medium">
        <color indexed="64"/>
      </bottom>
      <diagonal/>
    </border>
    <border>
      <left/>
      <right style="thin">
        <color indexed="64"/>
      </right>
      <top style="medium">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right/>
      <top style="thin">
        <color indexed="64"/>
      </top>
      <bottom style="thin">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thick">
        <color indexed="64"/>
      </bottom>
      <diagonal/>
    </border>
    <border>
      <left/>
      <right style="medium">
        <color indexed="64"/>
      </right>
      <top style="medium">
        <color indexed="64"/>
      </top>
      <bottom style="thin">
        <color indexed="64"/>
      </bottom>
      <diagonal/>
    </border>
  </borders>
  <cellStyleXfs count="80">
    <xf numFmtId="0" fontId="0" fillId="0" borderId="0"/>
    <xf numFmtId="0" fontId="6" fillId="0" borderId="0" applyNumberFormat="0" applyFill="0" applyBorder="0" applyAlignment="0" applyProtection="0"/>
    <xf numFmtId="44" fontId="10" fillId="0" borderId="0" applyFont="0" applyFill="0" applyBorder="0" applyAlignment="0" applyProtection="0"/>
    <xf numFmtId="0" fontId="5" fillId="0" borderId="0"/>
    <xf numFmtId="0" fontId="11" fillId="0" borderId="0"/>
    <xf numFmtId="0" fontId="5"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11" fillId="0" borderId="0"/>
    <xf numFmtId="0" fontId="5" fillId="0" borderId="0"/>
    <xf numFmtId="0" fontId="11" fillId="0" borderId="0"/>
    <xf numFmtId="0" fontId="11" fillId="0" borderId="0"/>
    <xf numFmtId="0" fontId="11" fillId="0" borderId="0"/>
    <xf numFmtId="0" fontId="5" fillId="0" borderId="0"/>
    <xf numFmtId="0" fontId="13"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cellStyleXfs>
  <cellXfs count="958">
    <xf numFmtId="0" fontId="0" fillId="0" borderId="0" xfId="0"/>
    <xf numFmtId="0" fontId="9" fillId="0" borderId="0" xfId="0" applyFont="1" applyAlignment="1">
      <alignment horizontal="left" vertical="center"/>
    </xf>
    <xf numFmtId="0" fontId="9" fillId="0" borderId="0" xfId="0" applyFont="1" applyAlignment="1">
      <alignment vertical="center"/>
    </xf>
    <xf numFmtId="0" fontId="7" fillId="0" borderId="0" xfId="0" applyFont="1" applyAlignment="1">
      <alignment vertical="center" wrapText="1"/>
    </xf>
    <xf numFmtId="0" fontId="7" fillId="0" borderId="0" xfId="0" applyFont="1" applyAlignment="1">
      <alignment wrapText="1"/>
    </xf>
    <xf numFmtId="0" fontId="7" fillId="0" borderId="0" xfId="0" applyFont="1"/>
    <xf numFmtId="0" fontId="12" fillId="0" borderId="0" xfId="1" applyFont="1" applyAlignment="1">
      <alignment horizontal="left" vertical="center"/>
    </xf>
    <xf numFmtId="2" fontId="7" fillId="0" borderId="0" xfId="0" applyNumberFormat="1" applyFont="1" applyAlignment="1">
      <alignment wrapText="1"/>
    </xf>
    <xf numFmtId="0" fontId="14" fillId="0" borderId="0" xfId="0" applyFont="1" applyAlignment="1">
      <alignment vertical="center" wrapText="1"/>
    </xf>
    <xf numFmtId="0" fontId="17" fillId="0" borderId="0" xfId="0" applyFont="1" applyAlignment="1">
      <alignment horizontal="center" vertical="center" wrapText="1"/>
    </xf>
    <xf numFmtId="0" fontId="9" fillId="0" borderId="0" xfId="0" applyFont="1" applyAlignment="1">
      <alignment wrapText="1"/>
    </xf>
    <xf numFmtId="0" fontId="7" fillId="2" borderId="3" xfId="0" applyFont="1" applyFill="1" applyBorder="1" applyAlignment="1">
      <alignment horizontal="center" vertical="center"/>
    </xf>
    <xf numFmtId="0" fontId="9" fillId="2" borderId="3" xfId="0" applyFont="1" applyFill="1" applyBorder="1" applyAlignment="1">
      <alignment horizontal="center" vertical="center"/>
    </xf>
    <xf numFmtId="0" fontId="7" fillId="2" borderId="3" xfId="0" applyFont="1" applyFill="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7" fillId="0" borderId="6" xfId="0" applyFont="1" applyBorder="1" applyAlignment="1">
      <alignment horizontal="center" vertical="center"/>
    </xf>
    <xf numFmtId="0" fontId="19" fillId="0" borderId="6" xfId="0" applyFont="1" applyBorder="1" applyAlignment="1">
      <alignment horizontal="center" vertical="center"/>
    </xf>
    <xf numFmtId="0" fontId="19" fillId="0" borderId="6" xfId="0" applyFont="1" applyBorder="1" applyAlignment="1">
      <alignment horizontal="left" vertical="center"/>
    </xf>
    <xf numFmtId="0" fontId="7" fillId="0" borderId="6" xfId="6" applyFont="1" applyBorder="1" applyAlignment="1">
      <alignment horizontal="center" vertical="center"/>
    </xf>
    <xf numFmtId="2" fontId="7" fillId="0" borderId="6" xfId="2" applyNumberFormat="1" applyFont="1" applyBorder="1" applyAlignment="1">
      <alignment horizontal="center" vertical="center"/>
    </xf>
    <xf numFmtId="0" fontId="19" fillId="0" borderId="6" xfId="32" applyFont="1" applyBorder="1" applyAlignment="1">
      <alignment horizontal="center" vertical="center"/>
    </xf>
    <xf numFmtId="0" fontId="19" fillId="0" borderId="6" xfId="0" applyFont="1" applyBorder="1" applyAlignment="1">
      <alignment horizontal="left" vertical="center" wrapText="1"/>
    </xf>
    <xf numFmtId="0" fontId="19" fillId="0" borderId="6" xfId="24" applyFont="1" applyBorder="1" applyAlignment="1">
      <alignment horizontal="center" vertical="center"/>
    </xf>
    <xf numFmtId="0" fontId="7" fillId="0" borderId="6" xfId="15" applyFont="1" applyBorder="1" applyAlignment="1">
      <alignment horizontal="center" vertical="center"/>
    </xf>
    <xf numFmtId="0" fontId="19" fillId="0" borderId="6" xfId="15" applyFont="1" applyBorder="1" applyAlignment="1">
      <alignment horizontal="center" vertical="center"/>
    </xf>
    <xf numFmtId="0" fontId="8" fillId="0" borderId="6" xfId="0" applyFont="1" applyBorder="1" applyAlignment="1">
      <alignment horizontal="center" vertical="center" wrapText="1"/>
    </xf>
    <xf numFmtId="0" fontId="9" fillId="0" borderId="0" xfId="0" applyFont="1" applyAlignment="1">
      <alignment horizontal="center" vertical="center" wrapText="1"/>
    </xf>
    <xf numFmtId="2" fontId="8" fillId="0" borderId="6" xfId="0" applyNumberFormat="1" applyFont="1" applyBorder="1" applyAlignment="1">
      <alignment horizontal="center" vertical="center" wrapText="1"/>
    </xf>
    <xf numFmtId="2" fontId="17" fillId="0" borderId="3" xfId="0" applyNumberFormat="1" applyFont="1" applyBorder="1" applyAlignment="1">
      <alignment horizontal="center" vertical="center" wrapText="1"/>
    </xf>
    <xf numFmtId="0" fontId="9"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19" fillId="0" borderId="6" xfId="37" applyFont="1" applyBorder="1" applyAlignment="1">
      <alignment horizontal="center" vertical="center"/>
    </xf>
    <xf numFmtId="0" fontId="7" fillId="0" borderId="7" xfId="0" applyFont="1" applyBorder="1" applyAlignment="1">
      <alignment horizontal="center" vertical="center"/>
    </xf>
    <xf numFmtId="0" fontId="19" fillId="0" borderId="7" xfId="37" applyFont="1" applyBorder="1" applyAlignment="1">
      <alignment horizontal="center" vertical="center"/>
    </xf>
    <xf numFmtId="0" fontId="7" fillId="0" borderId="7" xfId="6" applyFont="1" applyBorder="1" applyAlignment="1">
      <alignment horizontal="center" vertical="center"/>
    </xf>
    <xf numFmtId="2" fontId="7" fillId="0" borderId="7" xfId="2" applyNumberFormat="1" applyFont="1" applyBorder="1" applyAlignment="1">
      <alignment horizontal="center" vertical="center"/>
    </xf>
    <xf numFmtId="0" fontId="7" fillId="0" borderId="4" xfId="0" applyFont="1" applyBorder="1" applyAlignment="1">
      <alignment horizontal="center" vertical="center"/>
    </xf>
    <xf numFmtId="0" fontId="19" fillId="0" borderId="4" xfId="24" applyFont="1" applyBorder="1" applyAlignment="1">
      <alignment horizontal="center" vertical="center"/>
    </xf>
    <xf numFmtId="0" fontId="7" fillId="0" borderId="9" xfId="6" applyFont="1" applyBorder="1" applyAlignment="1">
      <alignment horizontal="center" vertical="center"/>
    </xf>
    <xf numFmtId="0" fontId="7" fillId="0" borderId="8" xfId="6" applyFont="1" applyBorder="1" applyAlignment="1">
      <alignment horizontal="center" vertical="center"/>
    </xf>
    <xf numFmtId="2" fontId="7" fillId="0" borderId="8" xfId="2" applyNumberFormat="1" applyFont="1" applyBorder="1" applyAlignment="1">
      <alignment horizontal="center" vertical="center"/>
    </xf>
    <xf numFmtId="2" fontId="7" fillId="2" borderId="3" xfId="2" applyNumberFormat="1" applyFont="1" applyFill="1" applyBorder="1" applyAlignment="1">
      <alignment horizontal="center" vertical="center"/>
    </xf>
    <xf numFmtId="0" fontId="9" fillId="0" borderId="10" xfId="0" applyFont="1" applyBorder="1" applyAlignment="1">
      <alignment vertical="center"/>
    </xf>
    <xf numFmtId="0" fontId="7" fillId="0" borderId="11" xfId="0" applyFont="1" applyBorder="1" applyAlignment="1">
      <alignment vertical="center"/>
    </xf>
    <xf numFmtId="0" fontId="7" fillId="0" borderId="0" xfId="0" applyFont="1" applyAlignment="1">
      <alignment horizontal="center" wrapText="1"/>
    </xf>
    <xf numFmtId="9" fontId="17" fillId="0" borderId="1" xfId="0" applyNumberFormat="1" applyFont="1" applyBorder="1" applyAlignment="1">
      <alignment horizontal="right" vertical="center" wrapText="1"/>
    </xf>
    <xf numFmtId="0" fontId="0" fillId="0" borderId="0" xfId="0" applyAlignment="1">
      <alignment vertical="center" wrapText="1"/>
    </xf>
    <xf numFmtId="0" fontId="7" fillId="0" borderId="0" xfId="0" applyFont="1" applyAlignment="1">
      <alignment vertical="center"/>
    </xf>
    <xf numFmtId="49" fontId="7" fillId="0" borderId="6" xfId="0" applyNumberFormat="1" applyFont="1" applyBorder="1" applyAlignment="1">
      <alignment horizontal="center" vertical="center"/>
    </xf>
    <xf numFmtId="0" fontId="19" fillId="0" borderId="6" xfId="0" applyFont="1" applyBorder="1" applyAlignment="1">
      <alignment horizontal="center"/>
    </xf>
    <xf numFmtId="2" fontId="17" fillId="0" borderId="0" xfId="0" applyNumberFormat="1" applyFont="1" applyAlignment="1">
      <alignment horizontal="center" vertical="center" wrapText="1"/>
    </xf>
    <xf numFmtId="0" fontId="7" fillId="0" borderId="0" xfId="0" applyFont="1" applyAlignment="1">
      <alignment horizontal="left" vertical="center" wrapText="1"/>
    </xf>
    <xf numFmtId="0" fontId="25" fillId="2" borderId="1" xfId="0" applyFont="1" applyFill="1" applyBorder="1" applyAlignment="1">
      <alignment horizontal="left" vertical="center"/>
    </xf>
    <xf numFmtId="0" fontId="28" fillId="2" borderId="2" xfId="0" applyFont="1" applyFill="1" applyBorder="1" applyAlignment="1">
      <alignment horizontal="left" vertical="center"/>
    </xf>
    <xf numFmtId="0" fontId="9" fillId="0" borderId="6" xfId="0" applyFont="1" applyBorder="1" applyAlignment="1">
      <alignment horizontal="center" vertical="center" wrapText="1"/>
    </xf>
    <xf numFmtId="0" fontId="9" fillId="4" borderId="6" xfId="0"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9" fillId="4" borderId="0" xfId="0" applyFont="1" applyFill="1" applyAlignment="1">
      <alignment horizontal="center" vertical="center"/>
    </xf>
    <xf numFmtId="0" fontId="9" fillId="4" borderId="0" xfId="0" applyFont="1" applyFill="1" applyAlignment="1">
      <alignment horizontal="center" vertical="center" wrapText="1"/>
    </xf>
    <xf numFmtId="0" fontId="19" fillId="0" borderId="6" xfId="24" applyFont="1" applyBorder="1" applyAlignment="1">
      <alignment horizontal="left" vertical="center" wrapText="1"/>
    </xf>
    <xf numFmtId="0" fontId="7" fillId="4" borderId="0" xfId="0" applyFont="1" applyFill="1"/>
    <xf numFmtId="0" fontId="24" fillId="0" borderId="6" xfId="0" applyFont="1" applyBorder="1" applyAlignment="1">
      <alignment horizontal="left" vertical="center"/>
    </xf>
    <xf numFmtId="0" fontId="19" fillId="0" borderId="6" xfId="43" applyFont="1" applyBorder="1" applyAlignment="1">
      <alignment horizontal="left" vertical="center" wrapText="1"/>
    </xf>
    <xf numFmtId="0" fontId="9" fillId="0" borderId="0" xfId="0" applyFont="1" applyAlignment="1">
      <alignment vertical="center" wrapText="1"/>
    </xf>
    <xf numFmtId="0" fontId="0" fillId="0" borderId="0" xfId="0" applyAlignment="1">
      <alignment wrapText="1"/>
    </xf>
    <xf numFmtId="0" fontId="9" fillId="0" borderId="0" xfId="0" applyFont="1"/>
    <xf numFmtId="0" fontId="34" fillId="0" borderId="0" xfId="0" applyFont="1" applyAlignment="1">
      <alignment horizontal="center" vertical="center" wrapText="1"/>
    </xf>
    <xf numFmtId="164" fontId="17" fillId="0" borderId="0" xfId="0" applyNumberFormat="1" applyFont="1" applyAlignment="1">
      <alignment horizontal="left" vertical="center" wrapText="1"/>
    </xf>
    <xf numFmtId="0" fontId="19" fillId="0" borderId="6" xfId="15" applyFont="1" applyBorder="1" applyAlignment="1">
      <alignment horizontal="left" vertical="center"/>
    </xf>
    <xf numFmtId="0" fontId="19" fillId="0" borderId="15" xfId="32" applyFont="1" applyBorder="1" applyAlignment="1">
      <alignment horizontal="center" vertical="center"/>
    </xf>
    <xf numFmtId="0" fontId="17" fillId="4" borderId="0" xfId="0" applyFont="1" applyFill="1" applyAlignment="1">
      <alignment horizontal="center" vertical="center" wrapText="1"/>
    </xf>
    <xf numFmtId="0" fontId="24" fillId="0" borderId="0" xfId="0" applyFont="1" applyAlignment="1">
      <alignment horizontal="left" vertical="center"/>
    </xf>
    <xf numFmtId="0" fontId="35" fillId="0" borderId="0" xfId="0" applyFont="1" applyAlignment="1">
      <alignment horizontal="center" vertical="center"/>
    </xf>
    <xf numFmtId="0" fontId="36" fillId="0" borderId="0" xfId="1" applyFont="1" applyAlignment="1">
      <alignment horizontal="left" vertical="center"/>
    </xf>
    <xf numFmtId="2" fontId="17" fillId="0" borderId="6" xfId="0" applyNumberFormat="1" applyFont="1" applyBorder="1" applyAlignment="1">
      <alignment horizontal="center" vertical="center" wrapText="1"/>
    </xf>
    <xf numFmtId="0" fontId="7" fillId="4" borderId="0" xfId="0" applyFont="1" applyFill="1" applyAlignment="1">
      <alignment horizontal="center" vertical="center" wrapText="1"/>
    </xf>
    <xf numFmtId="0" fontId="9" fillId="4" borderId="0" xfId="0" applyFont="1" applyFill="1" applyAlignment="1">
      <alignment horizontal="left" vertical="center" wrapText="1"/>
    </xf>
    <xf numFmtId="0" fontId="14" fillId="0" borderId="0" xfId="0" applyFont="1" applyAlignment="1">
      <alignment horizontal="center" vertical="center" wrapText="1"/>
    </xf>
    <xf numFmtId="0" fontId="25" fillId="0" borderId="0" xfId="0" applyFont="1" applyAlignment="1">
      <alignment vertical="center" wrapText="1"/>
    </xf>
    <xf numFmtId="2" fontId="8" fillId="0" borderId="7" xfId="0" applyNumberFormat="1" applyFont="1" applyBorder="1" applyAlignment="1">
      <alignment horizontal="center" vertical="center" wrapText="1"/>
    </xf>
    <xf numFmtId="2" fontId="17" fillId="0" borderId="9" xfId="0" applyNumberFormat="1" applyFont="1" applyBorder="1" applyAlignment="1">
      <alignment horizontal="center" vertical="center" wrapText="1"/>
    </xf>
    <xf numFmtId="0" fontId="37" fillId="0" borderId="0" xfId="0" applyFont="1" applyAlignment="1">
      <alignment horizontal="center" vertical="center" wrapText="1"/>
    </xf>
    <xf numFmtId="0" fontId="38" fillId="0" borderId="0" xfId="0" applyFont="1" applyAlignment="1">
      <alignment horizontal="center" vertical="center" wrapText="1"/>
    </xf>
    <xf numFmtId="0" fontId="39" fillId="0" borderId="0" xfId="0" applyFont="1"/>
    <xf numFmtId="0" fontId="9" fillId="0" borderId="6" xfId="0" applyFont="1" applyBorder="1" applyAlignment="1">
      <alignment horizontal="center" vertical="center"/>
    </xf>
    <xf numFmtId="0" fontId="7" fillId="0" borderId="6" xfId="0" applyFont="1" applyBorder="1" applyAlignment="1">
      <alignment horizontal="center" vertical="center" wrapText="1"/>
    </xf>
    <xf numFmtId="0" fontId="7" fillId="0" borderId="0" xfId="0" applyFont="1" applyAlignment="1">
      <alignment horizontal="center"/>
    </xf>
    <xf numFmtId="0" fontId="19" fillId="0" borderId="17" xfId="32" applyFont="1" applyBorder="1" applyAlignment="1">
      <alignment horizontal="center" vertical="center"/>
    </xf>
    <xf numFmtId="0" fontId="24" fillId="0" borderId="7" xfId="0" applyFont="1" applyBorder="1" applyAlignment="1">
      <alignment horizontal="left" vertical="center"/>
    </xf>
    <xf numFmtId="0" fontId="14" fillId="0" borderId="0" xfId="0" applyFont="1" applyAlignment="1">
      <alignment horizontal="center" wrapText="1"/>
    </xf>
    <xf numFmtId="0" fontId="7" fillId="4" borderId="0" xfId="0" applyFont="1" applyFill="1" applyAlignment="1">
      <alignment horizontal="center"/>
    </xf>
    <xf numFmtId="0" fontId="7" fillId="7" borderId="0" xfId="0" applyFont="1" applyFill="1"/>
    <xf numFmtId="0" fontId="9" fillId="0" borderId="0" xfId="0" applyFont="1" applyAlignment="1">
      <alignment horizontal="center" vertical="center"/>
    </xf>
    <xf numFmtId="0" fontId="24" fillId="0" borderId="8" xfId="24" applyFont="1" applyBorder="1" applyAlignment="1">
      <alignment horizontal="left" vertical="center"/>
    </xf>
    <xf numFmtId="0" fontId="42" fillId="4" borderId="0" xfId="0" applyFont="1" applyFill="1" applyAlignment="1">
      <alignment horizontal="center" vertical="center" wrapText="1"/>
    </xf>
    <xf numFmtId="0" fontId="43" fillId="0" borderId="18" xfId="0" applyFont="1" applyBorder="1" applyAlignment="1">
      <alignment horizontal="center" vertical="center"/>
    </xf>
    <xf numFmtId="0" fontId="41" fillId="0" borderId="13" xfId="0" applyFont="1" applyBorder="1" applyAlignment="1">
      <alignment horizontal="center" vertical="center" wrapText="1"/>
    </xf>
    <xf numFmtId="0" fontId="24" fillId="5" borderId="6" xfId="0" applyFont="1" applyFill="1" applyBorder="1" applyAlignment="1">
      <alignment horizontal="center" vertical="center"/>
    </xf>
    <xf numFmtId="0" fontId="24" fillId="2" borderId="6" xfId="0" applyFont="1" applyFill="1" applyBorder="1" applyAlignment="1">
      <alignment horizontal="center" vertical="center"/>
    </xf>
    <xf numFmtId="0" fontId="24" fillId="3" borderId="6" xfId="0" applyFont="1" applyFill="1" applyBorder="1" applyAlignment="1">
      <alignment horizontal="center" vertical="center"/>
    </xf>
    <xf numFmtId="0" fontId="44" fillId="5" borderId="1" xfId="0" applyFont="1" applyFill="1" applyBorder="1" applyAlignment="1">
      <alignment horizontal="center" vertical="center"/>
    </xf>
    <xf numFmtId="0" fontId="43" fillId="2" borderId="2" xfId="0" applyFont="1" applyFill="1" applyBorder="1" applyAlignment="1">
      <alignment horizontal="center" vertical="center" wrapText="1"/>
    </xf>
    <xf numFmtId="0" fontId="43" fillId="3" borderId="2" xfId="0" applyFont="1" applyFill="1" applyBorder="1" applyAlignment="1">
      <alignment horizontal="center" vertical="center" wrapText="1"/>
    </xf>
    <xf numFmtId="0" fontId="43" fillId="0" borderId="0" xfId="0" applyFont="1" applyAlignment="1">
      <alignment horizontal="center" vertical="center"/>
    </xf>
    <xf numFmtId="0" fontId="0" fillId="4" borderId="0" xfId="0" applyFill="1" applyAlignment="1">
      <alignment horizontal="center" vertical="center" wrapText="1"/>
    </xf>
    <xf numFmtId="0" fontId="40" fillId="4" borderId="0" xfId="0" applyFont="1" applyFill="1" applyAlignment="1">
      <alignment horizontal="center" vertical="center" wrapText="1"/>
    </xf>
    <xf numFmtId="0" fontId="7" fillId="0" borderId="0" xfId="0" applyFont="1" applyAlignment="1">
      <alignment vertical="top" wrapText="1"/>
    </xf>
    <xf numFmtId="0" fontId="44" fillId="4" borderId="6" xfId="44" applyFont="1" applyFill="1" applyBorder="1" applyAlignment="1">
      <alignment horizontal="center" vertical="center"/>
    </xf>
    <xf numFmtId="0" fontId="9" fillId="9" borderId="6" xfId="0" applyFont="1" applyFill="1" applyBorder="1" applyAlignment="1">
      <alignment horizontal="center" vertical="center"/>
    </xf>
    <xf numFmtId="0" fontId="44" fillId="9" borderId="6" xfId="0" applyFont="1" applyFill="1" applyBorder="1" applyAlignment="1">
      <alignment horizontal="center" vertical="center" wrapText="1"/>
    </xf>
    <xf numFmtId="0" fontId="41" fillId="0" borderId="25" xfId="0" applyFont="1" applyBorder="1" applyAlignment="1">
      <alignment horizontal="center" vertical="center" wrapText="1"/>
    </xf>
    <xf numFmtId="0" fontId="41" fillId="8" borderId="24" xfId="0" applyFont="1" applyFill="1" applyBorder="1" applyAlignment="1">
      <alignment horizontal="center" vertical="center" wrapText="1"/>
    </xf>
    <xf numFmtId="3" fontId="7" fillId="0" borderId="0" xfId="0" applyNumberFormat="1" applyFont="1" applyAlignment="1">
      <alignment horizontal="center" vertical="center"/>
    </xf>
    <xf numFmtId="0" fontId="19" fillId="0" borderId="14" xfId="0" applyFont="1" applyBorder="1" applyAlignment="1">
      <alignment horizontal="center" vertical="center"/>
    </xf>
    <xf numFmtId="0" fontId="19" fillId="0" borderId="14" xfId="40" applyFont="1" applyBorder="1" applyAlignment="1">
      <alignment horizontal="center" vertical="center"/>
    </xf>
    <xf numFmtId="0" fontId="19" fillId="0" borderId="14" xfId="6" applyFont="1" applyBorder="1" applyAlignment="1">
      <alignment horizontal="center" vertical="center"/>
    </xf>
    <xf numFmtId="0" fontId="19" fillId="0" borderId="14" xfId="36" applyFont="1" applyBorder="1" applyAlignment="1">
      <alignment horizontal="center" vertical="center"/>
    </xf>
    <xf numFmtId="0" fontId="19" fillId="4" borderId="14" xfId="0" applyFont="1" applyFill="1" applyBorder="1" applyAlignment="1">
      <alignment horizontal="left" vertical="center"/>
    </xf>
    <xf numFmtId="0" fontId="19" fillId="0" borderId="33" xfId="0" applyFont="1" applyBorder="1" applyAlignment="1">
      <alignment horizontal="center" vertical="center"/>
    </xf>
    <xf numFmtId="0" fontId="7" fillId="0" borderId="14" xfId="6" applyFont="1" applyBorder="1" applyAlignment="1">
      <alignment horizontal="center" vertical="center"/>
    </xf>
    <xf numFmtId="0" fontId="7" fillId="0" borderId="14" xfId="6" applyFont="1" applyBorder="1" applyAlignment="1">
      <alignment horizontal="left" vertical="center"/>
    </xf>
    <xf numFmtId="0" fontId="7" fillId="0" borderId="30" xfId="0" applyFont="1" applyBorder="1" applyAlignment="1">
      <alignment horizontal="center" vertical="center"/>
    </xf>
    <xf numFmtId="0" fontId="7" fillId="0" borderId="31" xfId="6" applyFont="1" applyBorder="1" applyAlignment="1">
      <alignment horizontal="center" vertical="center"/>
    </xf>
    <xf numFmtId="0" fontId="7" fillId="0" borderId="33" xfId="0" applyFont="1" applyBorder="1" applyAlignment="1">
      <alignment horizontal="center" vertical="center"/>
    </xf>
    <xf numFmtId="0" fontId="19" fillId="0" borderId="14" xfId="6" applyFont="1" applyBorder="1" applyAlignment="1">
      <alignment horizontal="left" vertical="center"/>
    </xf>
    <xf numFmtId="0" fontId="19" fillId="0" borderId="31" xfId="6" applyFont="1" applyBorder="1" applyAlignment="1">
      <alignment horizontal="center" vertical="center"/>
    </xf>
    <xf numFmtId="0" fontId="19" fillId="0" borderId="31" xfId="6" applyFont="1" applyBorder="1" applyAlignment="1">
      <alignment horizontal="left" vertical="center"/>
    </xf>
    <xf numFmtId="0" fontId="19" fillId="0" borderId="14" xfId="24" applyFont="1" applyBorder="1" applyAlignment="1">
      <alignment horizontal="center" vertical="center"/>
    </xf>
    <xf numFmtId="0" fontId="19" fillId="0" borderId="14" xfId="32" applyFont="1" applyBorder="1" applyAlignment="1">
      <alignment horizontal="center" vertical="center"/>
    </xf>
    <xf numFmtId="0" fontId="24" fillId="0" borderId="14" xfId="0" applyFont="1" applyBorder="1" applyAlignment="1">
      <alignment horizontal="left" vertical="center"/>
    </xf>
    <xf numFmtId="0" fontId="24" fillId="0" borderId="14" xfId="24" applyFont="1" applyBorder="1" applyAlignment="1">
      <alignment horizontal="left" vertical="center" wrapText="1"/>
    </xf>
    <xf numFmtId="0" fontId="7" fillId="0" borderId="14" xfId="15" applyFont="1" applyBorder="1" applyAlignment="1">
      <alignment horizontal="center" vertical="center"/>
    </xf>
    <xf numFmtId="0" fontId="19" fillId="0" borderId="14" xfId="37" applyFont="1" applyBorder="1" applyAlignment="1">
      <alignment horizontal="center" vertical="center"/>
    </xf>
    <xf numFmtId="0" fontId="7" fillId="0" borderId="39" xfId="0" applyFont="1" applyBorder="1" applyAlignment="1">
      <alignment horizontal="center" vertical="center"/>
    </xf>
    <xf numFmtId="0" fontId="19" fillId="0" borderId="40" xfId="24" applyFont="1" applyBorder="1" applyAlignment="1">
      <alignment horizontal="center" vertical="center"/>
    </xf>
    <xf numFmtId="0" fontId="24" fillId="0" borderId="40" xfId="24" applyFont="1" applyBorder="1" applyAlignment="1">
      <alignment horizontal="left" vertical="center"/>
    </xf>
    <xf numFmtId="0" fontId="7" fillId="0" borderId="40" xfId="6" applyFont="1" applyBorder="1" applyAlignment="1">
      <alignment horizontal="center" vertical="center"/>
    </xf>
    <xf numFmtId="2" fontId="8" fillId="0" borderId="32" xfId="0" applyNumberFormat="1" applyFont="1" applyBorder="1" applyAlignment="1">
      <alignment horizontal="center" vertical="center" wrapText="1"/>
    </xf>
    <xf numFmtId="9" fontId="17" fillId="0" borderId="33" xfId="0" applyNumberFormat="1" applyFont="1" applyBorder="1" applyAlignment="1">
      <alignment horizontal="right" vertical="center" wrapText="1"/>
    </xf>
    <xf numFmtId="2" fontId="17" fillId="0" borderId="34" xfId="0" applyNumberFormat="1" applyFont="1" applyBorder="1" applyAlignment="1">
      <alignment horizontal="center" vertical="center" wrapText="1"/>
    </xf>
    <xf numFmtId="2" fontId="17" fillId="0" borderId="37" xfId="0" applyNumberFormat="1" applyFont="1" applyBorder="1" applyAlignment="1">
      <alignment horizontal="center" vertical="center" wrapText="1"/>
    </xf>
    <xf numFmtId="0" fontId="50" fillId="8" borderId="26" xfId="0" applyFont="1" applyFill="1" applyBorder="1" applyAlignment="1">
      <alignment horizontal="center" vertical="center" wrapText="1"/>
    </xf>
    <xf numFmtId="0" fontId="20" fillId="8" borderId="27" xfId="0" applyFont="1" applyFill="1" applyBorder="1" applyAlignment="1">
      <alignment horizontal="center" vertical="center" wrapText="1"/>
    </xf>
    <xf numFmtId="0" fontId="50" fillId="8" borderId="28" xfId="0" applyFont="1" applyFill="1" applyBorder="1" applyAlignment="1">
      <alignment horizontal="center" vertical="center" wrapText="1"/>
    </xf>
    <xf numFmtId="0" fontId="9" fillId="0" borderId="0" xfId="0" applyFont="1" applyAlignment="1">
      <alignment horizontal="right" vertical="center"/>
    </xf>
    <xf numFmtId="165" fontId="7" fillId="0" borderId="0" xfId="0" applyNumberFormat="1" applyFont="1" applyAlignment="1">
      <alignment vertical="center"/>
    </xf>
    <xf numFmtId="0" fontId="50" fillId="8" borderId="2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9" fillId="3" borderId="36" xfId="0" applyFont="1" applyFill="1" applyBorder="1" applyAlignment="1">
      <alignment horizontal="center" vertical="center" wrapText="1"/>
    </xf>
    <xf numFmtId="0" fontId="9" fillId="3" borderId="37"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24" fillId="4" borderId="14" xfId="0" applyFont="1" applyFill="1" applyBorder="1" applyAlignment="1">
      <alignment horizontal="left" vertical="center"/>
    </xf>
    <xf numFmtId="0" fontId="40" fillId="11" borderId="42" xfId="0" applyFont="1" applyFill="1" applyBorder="1" applyAlignment="1">
      <alignment horizontal="center" vertical="center" wrapText="1"/>
    </xf>
    <xf numFmtId="0" fontId="40" fillId="11" borderId="43" xfId="0" applyFont="1" applyFill="1" applyBorder="1" applyAlignment="1">
      <alignment horizontal="center" vertical="center" wrapText="1"/>
    </xf>
    <xf numFmtId="41" fontId="7" fillId="0" borderId="31" xfId="2" applyNumberFormat="1" applyFont="1" applyFill="1" applyBorder="1" applyAlignment="1">
      <alignment horizontal="center" vertical="center"/>
    </xf>
    <xf numFmtId="41" fontId="7" fillId="0" borderId="14" xfId="2" applyNumberFormat="1" applyFont="1" applyFill="1" applyBorder="1" applyAlignment="1">
      <alignment horizontal="center" vertical="center"/>
    </xf>
    <xf numFmtId="41" fontId="7" fillId="0" borderId="14" xfId="2" applyNumberFormat="1" applyFont="1" applyBorder="1" applyAlignment="1">
      <alignment horizontal="center" vertical="center"/>
    </xf>
    <xf numFmtId="0" fontId="7" fillId="0" borderId="40" xfId="6" applyFont="1" applyBorder="1" applyAlignment="1">
      <alignment horizontal="left" vertical="center"/>
    </xf>
    <xf numFmtId="41" fontId="7" fillId="0" borderId="40" xfId="2" applyNumberFormat="1" applyFont="1" applyFill="1" applyBorder="1" applyAlignment="1">
      <alignment horizontal="center" vertical="center"/>
    </xf>
    <xf numFmtId="0" fontId="45" fillId="2" borderId="47" xfId="0" applyFont="1" applyFill="1" applyBorder="1" applyAlignment="1">
      <alignment vertical="center"/>
    </xf>
    <xf numFmtId="0" fontId="7" fillId="0" borderId="48" xfId="0" applyFont="1" applyBorder="1" applyAlignment="1">
      <alignment horizontal="center" vertical="center"/>
    </xf>
    <xf numFmtId="0" fontId="7" fillId="0" borderId="49" xfId="6" applyFont="1" applyBorder="1" applyAlignment="1">
      <alignment horizontal="center" vertical="center"/>
    </xf>
    <xf numFmtId="0" fontId="7" fillId="0" borderId="49" xfId="6" applyFont="1" applyBorder="1" applyAlignment="1">
      <alignment horizontal="left" vertical="center"/>
    </xf>
    <xf numFmtId="41" fontId="7" fillId="0" borderId="49" xfId="2" applyNumberFormat="1" applyFont="1" applyFill="1" applyBorder="1" applyAlignment="1">
      <alignment horizontal="center" vertical="center"/>
    </xf>
    <xf numFmtId="0" fontId="43" fillId="0" borderId="35" xfId="0" applyFont="1" applyBorder="1" applyAlignment="1">
      <alignment horizontal="center" vertical="center" wrapText="1"/>
    </xf>
    <xf numFmtId="0" fontId="43" fillId="0" borderId="37" xfId="0" applyFont="1" applyBorder="1" applyAlignment="1">
      <alignment horizontal="center" vertical="center" wrapText="1"/>
    </xf>
    <xf numFmtId="2" fontId="25" fillId="0" borderId="30" xfId="0" applyNumberFormat="1" applyFont="1" applyBorder="1" applyAlignment="1">
      <alignment horizontal="center" vertical="center" wrapText="1"/>
    </xf>
    <xf numFmtId="2" fontId="25" fillId="0" borderId="32" xfId="0" applyNumberFormat="1" applyFont="1" applyBorder="1" applyAlignment="1">
      <alignment horizontal="center" vertical="center" wrapText="1"/>
    </xf>
    <xf numFmtId="0" fontId="43" fillId="0" borderId="0" xfId="0" applyFont="1" applyAlignment="1">
      <alignment horizontal="center" vertical="center" wrapText="1"/>
    </xf>
    <xf numFmtId="0" fontId="8" fillId="0" borderId="7" xfId="0" applyFont="1" applyBorder="1" applyAlignment="1">
      <alignment horizontal="center" vertical="center" wrapText="1"/>
    </xf>
    <xf numFmtId="0" fontId="19" fillId="0" borderId="48" xfId="0" applyFont="1" applyBorder="1" applyAlignment="1">
      <alignment horizontal="center" vertical="center"/>
    </xf>
    <xf numFmtId="0" fontId="19" fillId="0" borderId="49" xfId="0" applyFont="1" applyBorder="1" applyAlignment="1">
      <alignment horizontal="center" vertical="center"/>
    </xf>
    <xf numFmtId="0" fontId="24" fillId="4" borderId="49" xfId="0" applyFont="1" applyFill="1" applyBorder="1" applyAlignment="1">
      <alignment horizontal="left" vertical="center"/>
    </xf>
    <xf numFmtId="0" fontId="7" fillId="2" borderId="47" xfId="0" applyFont="1" applyFill="1" applyBorder="1" applyAlignment="1">
      <alignment vertical="center"/>
    </xf>
    <xf numFmtId="0" fontId="19" fillId="0" borderId="39" xfId="0" applyFont="1" applyBorder="1" applyAlignment="1">
      <alignment horizontal="center" vertical="center"/>
    </xf>
    <xf numFmtId="0" fontId="19" fillId="0" borderId="40" xfId="36" applyFont="1" applyBorder="1" applyAlignment="1">
      <alignment horizontal="center" vertical="center"/>
    </xf>
    <xf numFmtId="0" fontId="19" fillId="4" borderId="40" xfId="0" applyFont="1" applyFill="1" applyBorder="1" applyAlignment="1">
      <alignment horizontal="left" vertical="center"/>
    </xf>
    <xf numFmtId="0" fontId="19" fillId="0" borderId="40" xfId="0" applyFont="1" applyBorder="1" applyAlignment="1">
      <alignment horizontal="center" vertical="center"/>
    </xf>
    <xf numFmtId="0" fontId="45" fillId="2" borderId="46" xfId="0" applyFont="1" applyFill="1" applyBorder="1" applyAlignment="1">
      <alignment vertical="center"/>
    </xf>
    <xf numFmtId="41" fontId="9" fillId="0" borderId="0" xfId="0" applyNumberFormat="1" applyFont="1" applyAlignment="1">
      <alignment horizontal="center" vertical="center"/>
    </xf>
    <xf numFmtId="166" fontId="7" fillId="0" borderId="0" xfId="0" applyNumberFormat="1" applyFont="1" applyAlignment="1">
      <alignment horizontal="center" vertical="center" wrapText="1"/>
    </xf>
    <xf numFmtId="165" fontId="19" fillId="6" borderId="49" xfId="41" applyNumberFormat="1" applyFont="1" applyFill="1" applyBorder="1" applyAlignment="1">
      <alignment horizontal="center" vertical="center"/>
    </xf>
    <xf numFmtId="165" fontId="7" fillId="0" borderId="50" xfId="2" applyNumberFormat="1" applyFont="1" applyBorder="1" applyAlignment="1">
      <alignment horizontal="center" vertical="center"/>
    </xf>
    <xf numFmtId="165" fontId="19" fillId="6" borderId="14" xfId="41" applyNumberFormat="1" applyFont="1" applyFill="1" applyBorder="1" applyAlignment="1">
      <alignment horizontal="center" vertical="center"/>
    </xf>
    <xf numFmtId="165" fontId="7" fillId="0" borderId="34" xfId="2" applyNumberFormat="1" applyFont="1" applyBorder="1" applyAlignment="1">
      <alignment horizontal="center" vertical="center"/>
    </xf>
    <xf numFmtId="165" fontId="19" fillId="6" borderId="14" xfId="42" applyNumberFormat="1" applyFont="1" applyFill="1" applyBorder="1" applyAlignment="1">
      <alignment horizontal="center" vertical="center"/>
    </xf>
    <xf numFmtId="165" fontId="19" fillId="6" borderId="40" xfId="42" applyNumberFormat="1" applyFont="1" applyFill="1" applyBorder="1" applyAlignment="1">
      <alignment horizontal="center" vertical="center"/>
    </xf>
    <xf numFmtId="165" fontId="7" fillId="0" borderId="41" xfId="2" applyNumberFormat="1" applyFont="1" applyBorder="1" applyAlignment="1">
      <alignment horizontal="center" vertical="center"/>
    </xf>
    <xf numFmtId="166" fontId="7" fillId="0" borderId="0" xfId="0" applyNumberFormat="1" applyFont="1"/>
    <xf numFmtId="165" fontId="19" fillId="0" borderId="14" xfId="15" applyNumberFormat="1" applyFont="1" applyBorder="1" applyAlignment="1">
      <alignment horizontal="center" vertical="center"/>
    </xf>
    <xf numFmtId="165" fontId="7" fillId="0" borderId="14" xfId="6" applyNumberFormat="1" applyFont="1" applyBorder="1" applyAlignment="1">
      <alignment horizontal="center" vertical="center"/>
    </xf>
    <xf numFmtId="165" fontId="7" fillId="0" borderId="40" xfId="6" applyNumberFormat="1" applyFont="1" applyBorder="1" applyAlignment="1">
      <alignment horizontal="center" vertical="center"/>
    </xf>
    <xf numFmtId="0" fontId="40" fillId="11" borderId="14" xfId="0" applyFont="1" applyFill="1" applyBorder="1" applyAlignment="1">
      <alignment horizontal="center" vertical="center" wrapText="1"/>
    </xf>
    <xf numFmtId="0" fontId="40" fillId="11" borderId="31" xfId="0" applyFont="1" applyFill="1" applyBorder="1" applyAlignment="1">
      <alignment horizontal="center" vertical="center" wrapText="1"/>
    </xf>
    <xf numFmtId="0" fontId="9" fillId="0" borderId="31" xfId="0" applyFont="1" applyBorder="1" applyAlignment="1">
      <alignment horizontal="center" vertical="center" wrapText="1"/>
    </xf>
    <xf numFmtId="0" fontId="9" fillId="0" borderId="35" xfId="0" applyFont="1" applyBorder="1" applyAlignment="1">
      <alignment horizontal="center" vertical="center" wrapText="1"/>
    </xf>
    <xf numFmtId="0" fontId="40" fillId="11" borderId="36" xfId="0" applyFont="1" applyFill="1" applyBorder="1" applyAlignment="1">
      <alignment horizontal="center" vertical="center" wrapText="1"/>
    </xf>
    <xf numFmtId="0" fontId="9" fillId="8" borderId="30" xfId="0" applyFont="1" applyFill="1" applyBorder="1" applyAlignment="1">
      <alignment horizontal="center" vertical="center" wrapText="1"/>
    </xf>
    <xf numFmtId="0" fontId="25" fillId="0" borderId="31" xfId="0" applyFont="1" applyBorder="1" applyAlignment="1">
      <alignment horizontal="center" vertical="center"/>
    </xf>
    <xf numFmtId="0" fontId="9" fillId="9" borderId="32" xfId="0" applyFont="1" applyFill="1" applyBorder="1" applyAlignment="1">
      <alignment horizontal="center" vertical="center" wrapText="1"/>
    </xf>
    <xf numFmtId="0" fontId="42" fillId="8" borderId="35" xfId="0" applyFont="1" applyFill="1" applyBorder="1" applyAlignment="1">
      <alignment horizontal="center" vertical="center"/>
    </xf>
    <xf numFmtId="0" fontId="42" fillId="0" borderId="36" xfId="0" applyFont="1" applyBorder="1" applyAlignment="1">
      <alignment horizontal="center" vertical="center"/>
    </xf>
    <xf numFmtId="0" fontId="42" fillId="11" borderId="36" xfId="0" applyFont="1" applyFill="1" applyBorder="1" applyAlignment="1">
      <alignment horizontal="center" vertical="center" wrapText="1"/>
    </xf>
    <xf numFmtId="0" fontId="42" fillId="9" borderId="37" xfId="0" applyFont="1" applyFill="1" applyBorder="1" applyAlignment="1">
      <alignment horizontal="center" vertical="center" wrapText="1"/>
    </xf>
    <xf numFmtId="4" fontId="7" fillId="0" borderId="0" xfId="0" applyNumberFormat="1" applyFont="1" applyAlignment="1">
      <alignment vertical="center" wrapText="1"/>
    </xf>
    <xf numFmtId="0" fontId="9" fillId="5" borderId="51"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3" borderId="52"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3" borderId="35" xfId="0" applyFont="1" applyFill="1" applyBorder="1" applyAlignment="1">
      <alignment horizontal="center" vertical="center" wrapText="1"/>
    </xf>
    <xf numFmtId="0" fontId="9" fillId="5" borderId="57"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44" fillId="4" borderId="14" xfId="44" applyFont="1" applyFill="1" applyBorder="1" applyAlignment="1">
      <alignment horizontal="center" vertical="center"/>
    </xf>
    <xf numFmtId="0" fontId="44" fillId="9" borderId="14" xfId="0" applyFont="1" applyFill="1" applyBorder="1" applyAlignment="1">
      <alignment horizontal="center" vertical="center" wrapText="1"/>
    </xf>
    <xf numFmtId="0" fontId="44" fillId="9" borderId="34" xfId="0" applyFont="1" applyFill="1" applyBorder="1" applyAlignment="1">
      <alignment horizontal="center" vertical="center" wrapText="1"/>
    </xf>
    <xf numFmtId="0" fontId="43" fillId="0" borderId="36" xfId="0" applyFont="1" applyBorder="1" applyAlignment="1">
      <alignment horizontal="center" vertical="center"/>
    </xf>
    <xf numFmtId="0" fontId="43" fillId="0" borderId="37" xfId="0" applyFont="1" applyBorder="1" applyAlignment="1">
      <alignment horizontal="center" vertical="center"/>
    </xf>
    <xf numFmtId="0" fontId="43" fillId="0" borderId="40" xfId="0" applyFont="1" applyBorder="1" applyAlignment="1">
      <alignment horizontal="center" vertical="center"/>
    </xf>
    <xf numFmtId="0" fontId="43" fillId="0" borderId="41" xfId="0" applyFont="1" applyBorder="1" applyAlignment="1">
      <alignment horizontal="center" vertical="center"/>
    </xf>
    <xf numFmtId="0" fontId="41" fillId="0" borderId="58" xfId="0" applyFont="1" applyBorder="1" applyAlignment="1">
      <alignment horizontal="center" vertical="center" wrapText="1"/>
    </xf>
    <xf numFmtId="0" fontId="41" fillId="0" borderId="56" xfId="0" applyFont="1" applyBorder="1" applyAlignment="1">
      <alignment horizontal="center" vertical="center" wrapText="1"/>
    </xf>
    <xf numFmtId="0" fontId="9" fillId="0" borderId="33" xfId="0" applyFont="1" applyBorder="1" applyAlignment="1">
      <alignment horizontal="center" vertical="center"/>
    </xf>
    <xf numFmtId="0" fontId="44" fillId="4" borderId="34" xfId="44" applyFont="1" applyFill="1" applyBorder="1" applyAlignment="1">
      <alignment horizontal="center" vertical="center"/>
    </xf>
    <xf numFmtId="0" fontId="9" fillId="9" borderId="33" xfId="0" applyFont="1" applyFill="1" applyBorder="1" applyAlignment="1">
      <alignment horizontal="center" vertical="center"/>
    </xf>
    <xf numFmtId="0" fontId="9" fillId="0" borderId="39" xfId="0" applyFont="1" applyBorder="1" applyAlignment="1">
      <alignment horizontal="center" vertical="center" wrapText="1"/>
    </xf>
    <xf numFmtId="0" fontId="19" fillId="0" borderId="40" xfId="6" applyFont="1" applyBorder="1" applyAlignment="1">
      <alignment horizontal="center" vertical="center"/>
    </xf>
    <xf numFmtId="0" fontId="19" fillId="0" borderId="40" xfId="6" applyFont="1" applyBorder="1" applyAlignment="1">
      <alignment horizontal="left" vertical="center"/>
    </xf>
    <xf numFmtId="41" fontId="7" fillId="0" borderId="40" xfId="2" applyNumberFormat="1" applyFont="1" applyBorder="1" applyAlignment="1">
      <alignment horizontal="center" vertical="center"/>
    </xf>
    <xf numFmtId="0" fontId="19" fillId="0" borderId="49" xfId="24" applyFont="1" applyBorder="1" applyAlignment="1">
      <alignment horizontal="center" vertical="center"/>
    </xf>
    <xf numFmtId="0" fontId="24" fillId="0" borderId="49" xfId="24" applyFont="1" applyBorder="1" applyAlignment="1">
      <alignment horizontal="left" vertical="center"/>
    </xf>
    <xf numFmtId="165" fontId="19" fillId="6" borderId="49" xfId="42" applyNumberFormat="1" applyFont="1" applyFill="1" applyBorder="1" applyAlignment="1">
      <alignment horizontal="center" vertical="center"/>
    </xf>
    <xf numFmtId="2" fontId="7" fillId="2" borderId="47" xfId="2" applyNumberFormat="1" applyFont="1" applyFill="1" applyBorder="1" applyAlignment="1">
      <alignment horizontal="center" vertical="center"/>
    </xf>
    <xf numFmtId="0" fontId="7" fillId="0" borderId="14" xfId="47" applyFont="1" applyBorder="1" applyAlignment="1">
      <alignment horizontal="center" vertical="center"/>
    </xf>
    <xf numFmtId="0" fontId="7" fillId="0" borderId="40" xfId="47" applyFont="1" applyBorder="1" applyAlignment="1">
      <alignment horizontal="center" vertical="center"/>
    </xf>
    <xf numFmtId="0" fontId="7" fillId="0" borderId="49" xfId="47" applyFont="1" applyBorder="1" applyAlignment="1">
      <alignment horizontal="center" vertical="center"/>
    </xf>
    <xf numFmtId="165" fontId="7" fillId="0" borderId="24" xfId="0" applyNumberFormat="1" applyFont="1" applyBorder="1" applyAlignment="1">
      <alignment horizontal="center" vertical="center" wrapText="1"/>
    </xf>
    <xf numFmtId="0" fontId="28" fillId="2" borderId="46" xfId="0" applyFont="1" applyFill="1" applyBorder="1" applyAlignment="1">
      <alignment vertical="center"/>
    </xf>
    <xf numFmtId="41" fontId="24" fillId="4" borderId="49" xfId="0" applyNumberFormat="1" applyFont="1" applyFill="1" applyBorder="1" applyAlignment="1">
      <alignment horizontal="left" vertical="center"/>
    </xf>
    <xf numFmtId="0" fontId="7" fillId="0" borderId="49" xfId="61" applyFont="1" applyBorder="1" applyAlignment="1">
      <alignment horizontal="left" vertical="center"/>
    </xf>
    <xf numFmtId="0" fontId="7" fillId="0" borderId="14" xfId="61" applyFont="1" applyBorder="1" applyAlignment="1">
      <alignment horizontal="left" vertical="center"/>
    </xf>
    <xf numFmtId="0" fontId="7" fillId="0" borderId="40" xfId="61" applyFont="1" applyBorder="1" applyAlignment="1">
      <alignment horizontal="left" vertical="center"/>
    </xf>
    <xf numFmtId="0" fontId="19" fillId="0" borderId="31" xfId="61" applyFont="1" applyBorder="1" applyAlignment="1">
      <alignment horizontal="left" vertical="center"/>
    </xf>
    <xf numFmtId="0" fontId="19" fillId="0" borderId="14" xfId="61" applyFont="1" applyBorder="1" applyAlignment="1">
      <alignment horizontal="left" vertical="center"/>
    </xf>
    <xf numFmtId="0" fontId="19" fillId="0" borderId="40" xfId="61" applyFont="1" applyBorder="1" applyAlignment="1">
      <alignment horizontal="left" vertical="center"/>
    </xf>
    <xf numFmtId="41" fontId="7" fillId="0" borderId="0" xfId="0" applyNumberFormat="1" applyFont="1"/>
    <xf numFmtId="167" fontId="17" fillId="0" borderId="0" xfId="0" applyNumberFormat="1" applyFont="1" applyAlignment="1">
      <alignment horizontal="center" vertical="center" wrapText="1"/>
    </xf>
    <xf numFmtId="0" fontId="9" fillId="0" borderId="33" xfId="0" applyFont="1" applyBorder="1" applyAlignment="1">
      <alignment horizontal="center" vertical="center" wrapText="1"/>
    </xf>
    <xf numFmtId="0" fontId="43" fillId="0" borderId="14" xfId="0" applyFont="1" applyBorder="1" applyAlignment="1">
      <alignment horizontal="center" vertical="center"/>
    </xf>
    <xf numFmtId="0" fontId="9" fillId="0" borderId="39" xfId="0" applyFont="1" applyBorder="1" applyAlignment="1">
      <alignment horizontal="center" vertical="center"/>
    </xf>
    <xf numFmtId="0" fontId="24" fillId="2" borderId="14" xfId="0" applyFont="1" applyFill="1" applyBorder="1" applyAlignment="1">
      <alignment horizontal="center" vertical="center"/>
    </xf>
    <xf numFmtId="0" fontId="24" fillId="2" borderId="34" xfId="0" applyFont="1" applyFill="1" applyBorder="1" applyAlignment="1">
      <alignment horizontal="center" vertical="center"/>
    </xf>
    <xf numFmtId="0" fontId="24" fillId="3" borderId="36" xfId="0" applyFont="1" applyFill="1" applyBorder="1" applyAlignment="1">
      <alignment horizontal="center" vertical="center"/>
    </xf>
    <xf numFmtId="0" fontId="24" fillId="3" borderId="37" xfId="0" applyFont="1" applyFill="1" applyBorder="1" applyAlignment="1">
      <alignment horizontal="center" vertical="center"/>
    </xf>
    <xf numFmtId="0" fontId="20" fillId="8" borderId="44" xfId="0" applyFont="1" applyFill="1" applyBorder="1" applyAlignment="1">
      <alignment horizontal="center" vertical="center" wrapText="1"/>
    </xf>
    <xf numFmtId="0" fontId="43" fillId="0" borderId="34" xfId="0" applyFont="1" applyBorder="1" applyAlignment="1">
      <alignment horizontal="center" vertical="center"/>
    </xf>
    <xf numFmtId="0" fontId="41" fillId="0" borderId="39" xfId="0" applyFont="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63" fillId="8" borderId="27" xfId="0" applyFont="1" applyFill="1" applyBorder="1" applyAlignment="1">
      <alignment horizontal="center" vertical="center" wrapText="1"/>
    </xf>
    <xf numFmtId="0" fontId="63" fillId="8" borderId="26" xfId="0" applyFont="1" applyFill="1" applyBorder="1" applyAlignment="1">
      <alignment horizontal="center" vertical="center" wrapText="1"/>
    </xf>
    <xf numFmtId="0" fontId="63" fillId="8" borderId="28" xfId="0" applyFont="1" applyFill="1" applyBorder="1" applyAlignment="1">
      <alignment horizontal="center" vertical="center" wrapText="1"/>
    </xf>
    <xf numFmtId="0" fontId="9" fillId="5" borderId="72"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3" borderId="73" xfId="0" applyFont="1" applyFill="1" applyBorder="1" applyAlignment="1">
      <alignment horizontal="center" vertical="center" wrapText="1"/>
    </xf>
    <xf numFmtId="0" fontId="9" fillId="5" borderId="63" xfId="0" applyFont="1" applyFill="1" applyBorder="1" applyAlignment="1">
      <alignment horizontal="center" vertical="center" wrapText="1"/>
    </xf>
    <xf numFmtId="0" fontId="9" fillId="2" borderId="64" xfId="0" applyFont="1" applyFill="1" applyBorder="1" applyAlignment="1">
      <alignment horizontal="center" vertical="center" wrapText="1"/>
    </xf>
    <xf numFmtId="0" fontId="9" fillId="3" borderId="65" xfId="0" applyFont="1" applyFill="1" applyBorder="1" applyAlignment="1">
      <alignment horizontal="center" vertical="center" wrapText="1"/>
    </xf>
    <xf numFmtId="0" fontId="41" fillId="8" borderId="70" xfId="0" applyFont="1" applyFill="1" applyBorder="1" applyAlignment="1">
      <alignment horizontal="center" vertical="center" wrapText="1"/>
    </xf>
    <xf numFmtId="0" fontId="63" fillId="8" borderId="70" xfId="0" applyFont="1" applyFill="1" applyBorder="1" applyAlignment="1">
      <alignment horizontal="center" vertical="center" wrapText="1"/>
    </xf>
    <xf numFmtId="0" fontId="63" fillId="8" borderId="44" xfId="0" applyFont="1" applyFill="1" applyBorder="1" applyAlignment="1">
      <alignment horizontal="center" vertical="center" wrapText="1"/>
    </xf>
    <xf numFmtId="0" fontId="63" fillId="8" borderId="71" xfId="0" applyFont="1" applyFill="1" applyBorder="1" applyAlignment="1">
      <alignment horizontal="center" vertical="center" wrapText="1"/>
    </xf>
    <xf numFmtId="0" fontId="24" fillId="5" borderId="72" xfId="0" applyFont="1" applyFill="1" applyBorder="1" applyAlignment="1">
      <alignment horizontal="center" vertical="center"/>
    </xf>
    <xf numFmtId="0" fontId="24" fillId="2" borderId="16" xfId="0" applyFont="1" applyFill="1" applyBorder="1" applyAlignment="1">
      <alignment horizontal="center" vertical="center"/>
    </xf>
    <xf numFmtId="0" fontId="24" fillId="3" borderId="73" xfId="0" applyFont="1" applyFill="1" applyBorder="1" applyAlignment="1">
      <alignment horizontal="center" vertical="center"/>
    </xf>
    <xf numFmtId="0" fontId="41" fillId="0" borderId="24" xfId="0" applyFont="1" applyBorder="1" applyAlignment="1">
      <alignment horizontal="center" vertical="center" wrapText="1"/>
    </xf>
    <xf numFmtId="0" fontId="44" fillId="5" borderId="63" xfId="0" applyFont="1" applyFill="1" applyBorder="1" applyAlignment="1">
      <alignment horizontal="center" vertical="center"/>
    </xf>
    <xf numFmtId="0" fontId="43" fillId="2" borderId="64" xfId="0" applyFont="1" applyFill="1" applyBorder="1" applyAlignment="1">
      <alignment horizontal="center" vertical="center" wrapText="1"/>
    </xf>
    <xf numFmtId="0" fontId="43" fillId="3" borderId="65" xfId="0" applyFont="1" applyFill="1" applyBorder="1" applyAlignment="1">
      <alignment horizontal="center" vertical="center" wrapText="1"/>
    </xf>
    <xf numFmtId="165" fontId="7" fillId="0" borderId="0" xfId="0" applyNumberFormat="1" applyFont="1" applyAlignment="1">
      <alignment horizontal="center" vertical="center" wrapText="1"/>
    </xf>
    <xf numFmtId="0" fontId="57" fillId="4" borderId="30" xfId="0" applyFont="1" applyFill="1" applyBorder="1" applyAlignment="1" applyProtection="1">
      <alignment horizontal="center" vertical="center" wrapText="1"/>
      <protection locked="0"/>
    </xf>
    <xf numFmtId="0" fontId="57" fillId="4" borderId="35" xfId="0" applyFont="1" applyFill="1" applyBorder="1" applyAlignment="1" applyProtection="1">
      <alignment horizontal="center" vertical="center" wrapText="1"/>
      <protection locked="0"/>
    </xf>
    <xf numFmtId="0" fontId="58" fillId="4" borderId="35" xfId="0" applyFont="1" applyFill="1" applyBorder="1" applyAlignment="1" applyProtection="1">
      <alignment horizontal="center" vertical="center"/>
      <protection locked="0"/>
    </xf>
    <xf numFmtId="0" fontId="58" fillId="4" borderId="36" xfId="0" applyFont="1" applyFill="1" applyBorder="1" applyAlignment="1" applyProtection="1">
      <alignment horizontal="center" vertical="center"/>
      <protection locked="0"/>
    </xf>
    <xf numFmtId="0" fontId="58" fillId="4" borderId="36" xfId="0" applyFont="1" applyFill="1" applyBorder="1" applyAlignment="1" applyProtection="1">
      <alignment horizontal="center" vertical="center" wrapText="1"/>
      <protection locked="0"/>
    </xf>
    <xf numFmtId="0" fontId="58" fillId="4" borderId="37" xfId="0" applyFont="1" applyFill="1" applyBorder="1" applyAlignment="1" applyProtection="1">
      <alignment horizontal="center" vertical="center" wrapText="1"/>
      <protection locked="0"/>
    </xf>
    <xf numFmtId="0" fontId="57" fillId="4" borderId="65" xfId="0" applyFont="1" applyFill="1" applyBorder="1" applyAlignment="1" applyProtection="1">
      <alignment horizontal="center" wrapText="1"/>
      <protection locked="0"/>
    </xf>
    <xf numFmtId="165" fontId="7" fillId="0" borderId="31" xfId="6" applyNumberFormat="1" applyFont="1" applyBorder="1" applyAlignment="1" applyProtection="1">
      <alignment horizontal="center" vertical="center"/>
      <protection locked="0"/>
    </xf>
    <xf numFmtId="165" fontId="19" fillId="0" borderId="14" xfId="15" applyNumberFormat="1" applyFont="1" applyBorder="1" applyAlignment="1" applyProtection="1">
      <alignment horizontal="center" vertical="center"/>
      <protection locked="0"/>
    </xf>
    <xf numFmtId="165" fontId="7" fillId="0" borderId="14" xfId="6" applyNumberFormat="1" applyFont="1" applyBorder="1" applyAlignment="1" applyProtection="1">
      <alignment horizontal="center" vertical="center"/>
      <protection locked="0"/>
    </xf>
    <xf numFmtId="165" fontId="7" fillId="0" borderId="36" xfId="6" applyNumberFormat="1" applyFont="1" applyBorder="1" applyAlignment="1" applyProtection="1">
      <alignment horizontal="center" vertical="center"/>
      <protection locked="0"/>
    </xf>
    <xf numFmtId="9" fontId="17" fillId="0" borderId="33" xfId="0" applyNumberFormat="1" applyFont="1" applyBorder="1" applyAlignment="1" applyProtection="1">
      <alignment horizontal="center" vertical="center" wrapText="1"/>
      <protection locked="0"/>
    </xf>
    <xf numFmtId="0" fontId="0" fillId="4" borderId="0" xfId="0" applyFill="1"/>
    <xf numFmtId="0" fontId="62" fillId="4" borderId="0" xfId="0" applyFont="1" applyFill="1" applyAlignment="1">
      <alignment horizontal="right"/>
    </xf>
    <xf numFmtId="0" fontId="0" fillId="4" borderId="0" xfId="0" applyFill="1" applyAlignment="1">
      <alignment horizontal="right"/>
    </xf>
    <xf numFmtId="0" fontId="55" fillId="4" borderId="0" xfId="0" applyFont="1" applyFill="1"/>
    <xf numFmtId="0" fontId="55" fillId="4" borderId="0" xfId="0" applyFont="1" applyFill="1" applyAlignment="1">
      <alignment vertical="center"/>
    </xf>
    <xf numFmtId="0" fontId="55" fillId="4" borderId="0" xfId="0" applyFont="1" applyFill="1" applyAlignment="1">
      <alignment vertical="center" wrapText="1"/>
    </xf>
    <xf numFmtId="0" fontId="55" fillId="4" borderId="0" xfId="0" applyFont="1" applyFill="1" applyAlignment="1">
      <alignment horizontal="center" vertical="center" wrapText="1"/>
    </xf>
    <xf numFmtId="0" fontId="54" fillId="4" borderId="30" xfId="0" applyFont="1" applyFill="1" applyBorder="1" applyAlignment="1">
      <alignment horizontal="center" vertical="center" wrapText="1"/>
    </xf>
    <xf numFmtId="0" fontId="60" fillId="4" borderId="31" xfId="0" applyFont="1" applyFill="1" applyBorder="1" applyAlignment="1">
      <alignment horizontal="center" vertical="center"/>
    </xf>
    <xf numFmtId="0" fontId="54" fillId="4" borderId="31" xfId="0" applyFont="1" applyFill="1" applyBorder="1" applyAlignment="1">
      <alignment horizontal="center" vertical="center" wrapText="1"/>
    </xf>
    <xf numFmtId="0" fontId="54" fillId="4" borderId="32" xfId="0" applyFont="1" applyFill="1" applyBorder="1" applyAlignment="1">
      <alignment horizontal="center" vertical="center" wrapText="1"/>
    </xf>
    <xf numFmtId="2" fontId="25" fillId="4" borderId="54" xfId="0" applyNumberFormat="1" applyFont="1" applyFill="1" applyBorder="1" applyAlignment="1">
      <alignment horizontal="center" vertical="center" wrapText="1"/>
    </xf>
    <xf numFmtId="2" fontId="25" fillId="4" borderId="32" xfId="0" applyNumberFormat="1" applyFont="1" applyFill="1" applyBorder="1" applyAlignment="1">
      <alignment horizontal="center" vertical="center" wrapText="1"/>
    </xf>
    <xf numFmtId="0" fontId="59" fillId="4" borderId="53" xfId="0" applyFont="1" applyFill="1" applyBorder="1" applyAlignment="1">
      <alignment horizontal="center" vertical="center" wrapText="1"/>
    </xf>
    <xf numFmtId="0" fontId="59" fillId="4" borderId="37" xfId="0" applyFont="1" applyFill="1" applyBorder="1" applyAlignment="1">
      <alignment horizontal="center" vertical="center" wrapText="1"/>
    </xf>
    <xf numFmtId="0" fontId="55" fillId="4" borderId="63" xfId="0" applyFont="1" applyFill="1" applyBorder="1" applyAlignment="1">
      <alignment horizontal="center" vertical="center" wrapText="1"/>
    </xf>
    <xf numFmtId="0" fontId="57" fillId="4" borderId="0" xfId="0" applyFont="1" applyFill="1" applyAlignment="1">
      <alignment horizontal="center" vertical="center" wrapText="1"/>
    </xf>
    <xf numFmtId="0" fontId="52" fillId="0" borderId="31" xfId="0" applyFont="1" applyBorder="1" applyAlignment="1">
      <alignment horizontal="center" vertical="center" wrapText="1"/>
    </xf>
    <xf numFmtId="0" fontId="52" fillId="0" borderId="32"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27" fillId="2" borderId="44" xfId="0" applyFont="1" applyFill="1" applyBorder="1" applyAlignment="1">
      <alignment vertical="center"/>
    </xf>
    <xf numFmtId="0" fontId="27" fillId="2" borderId="0" xfId="0" applyFont="1" applyFill="1" applyAlignment="1">
      <alignment vertical="center"/>
    </xf>
    <xf numFmtId="0" fontId="0" fillId="2" borderId="0" xfId="0" applyFill="1"/>
    <xf numFmtId="0" fontId="19" fillId="4" borderId="14" xfId="0" applyFont="1" applyFill="1" applyBorder="1" applyAlignment="1">
      <alignment horizontal="center" vertical="center"/>
    </xf>
    <xf numFmtId="166" fontId="19" fillId="4" borderId="14" xfId="0" applyNumberFormat="1" applyFont="1" applyFill="1" applyBorder="1" applyAlignment="1">
      <alignment horizontal="center" vertical="center"/>
    </xf>
    <xf numFmtId="165" fontId="19" fillId="10" borderId="14" xfId="0" applyNumberFormat="1" applyFont="1" applyFill="1" applyBorder="1" applyAlignment="1">
      <alignment horizontal="center" vertical="center"/>
    </xf>
    <xf numFmtId="165" fontId="19" fillId="4" borderId="14" xfId="0" applyNumberFormat="1" applyFont="1" applyFill="1" applyBorder="1" applyAlignment="1">
      <alignment horizontal="center" vertical="center"/>
    </xf>
    <xf numFmtId="0" fontId="25" fillId="2" borderId="44" xfId="6" applyFont="1" applyFill="1" applyBorder="1" applyAlignment="1">
      <alignment vertical="center"/>
    </xf>
    <xf numFmtId="0" fontId="25" fillId="2" borderId="0" xfId="6" applyFont="1" applyFill="1" applyAlignment="1">
      <alignment vertical="center"/>
    </xf>
    <xf numFmtId="0" fontId="25" fillId="2" borderId="0" xfId="6" applyFont="1" applyFill="1" applyAlignment="1">
      <alignment horizontal="left" vertical="center"/>
    </xf>
    <xf numFmtId="166" fontId="25" fillId="2" borderId="0" xfId="6" applyNumberFormat="1" applyFont="1" applyFill="1" applyAlignment="1">
      <alignment horizontal="left" vertical="center"/>
    </xf>
    <xf numFmtId="165" fontId="25" fillId="2" borderId="0" xfId="6" applyNumberFormat="1" applyFont="1" applyFill="1" applyAlignment="1">
      <alignment horizontal="left" vertical="center"/>
    </xf>
    <xf numFmtId="0" fontId="27" fillId="4" borderId="14" xfId="0" applyFont="1" applyFill="1" applyBorder="1" applyAlignment="1">
      <alignment horizontal="left" vertical="center"/>
    </xf>
    <xf numFmtId="0" fontId="53" fillId="4" borderId="14" xfId="0" applyFont="1" applyFill="1" applyBorder="1" applyAlignment="1">
      <alignment horizontal="left" vertical="center"/>
    </xf>
    <xf numFmtId="0" fontId="53" fillId="4" borderId="14" xfId="0" applyFont="1" applyFill="1" applyBorder="1" applyAlignment="1">
      <alignment horizontal="center" vertical="center"/>
    </xf>
    <xf numFmtId="166" fontId="53" fillId="4" borderId="14" xfId="0" applyNumberFormat="1" applyFont="1" applyFill="1" applyBorder="1" applyAlignment="1">
      <alignment horizontal="center" vertical="center"/>
    </xf>
    <xf numFmtId="165" fontId="53" fillId="10" borderId="14" xfId="0" applyNumberFormat="1" applyFont="1" applyFill="1" applyBorder="1" applyAlignment="1">
      <alignment horizontal="center" vertical="center"/>
    </xf>
    <xf numFmtId="165" fontId="53" fillId="4" borderId="14" xfId="0" applyNumberFormat="1" applyFont="1" applyFill="1" applyBorder="1" applyAlignment="1">
      <alignment horizontal="center" vertical="center"/>
    </xf>
    <xf numFmtId="0" fontId="25" fillId="2" borderId="0" xfId="6" applyFont="1" applyFill="1" applyAlignment="1">
      <alignment horizontal="center" vertical="center"/>
    </xf>
    <xf numFmtId="166" fontId="25" fillId="2" borderId="0" xfId="6" applyNumberFormat="1" applyFont="1" applyFill="1" applyAlignment="1">
      <alignment horizontal="center" vertical="center"/>
    </xf>
    <xf numFmtId="165" fontId="25" fillId="2" borderId="0" xfId="6" applyNumberFormat="1" applyFont="1" applyFill="1" applyAlignment="1">
      <alignment horizontal="center" vertical="center"/>
    </xf>
    <xf numFmtId="0" fontId="54" fillId="2" borderId="44" xfId="6" applyFont="1" applyFill="1" applyBorder="1" applyAlignment="1">
      <alignment vertical="center"/>
    </xf>
    <xf numFmtId="0" fontId="54" fillId="2" borderId="0" xfId="6" applyFont="1" applyFill="1" applyAlignment="1">
      <alignment vertical="center"/>
    </xf>
    <xf numFmtId="0" fontId="33" fillId="2" borderId="0" xfId="0" applyFont="1" applyFill="1"/>
    <xf numFmtId="0" fontId="54" fillId="2" borderId="0" xfId="6" applyFont="1" applyFill="1" applyAlignment="1">
      <alignment horizontal="center" vertical="center"/>
    </xf>
    <xf numFmtId="166" fontId="54" fillId="2" borderId="0" xfId="6" applyNumberFormat="1" applyFont="1" applyFill="1" applyAlignment="1">
      <alignment horizontal="center" vertical="center"/>
    </xf>
    <xf numFmtId="165" fontId="54" fillId="2" borderId="0" xfId="6" applyNumberFormat="1" applyFont="1" applyFill="1" applyAlignment="1">
      <alignment horizontal="center" vertical="center"/>
    </xf>
    <xf numFmtId="0" fontId="27" fillId="2" borderId="38" xfId="23" applyFont="1" applyFill="1" applyBorder="1" applyAlignment="1">
      <alignment vertical="center"/>
    </xf>
    <xf numFmtId="0" fontId="27" fillId="2" borderId="0" xfId="23" applyFont="1" applyFill="1" applyAlignment="1">
      <alignment vertical="center"/>
    </xf>
    <xf numFmtId="0" fontId="26" fillId="2" borderId="0" xfId="0" applyFont="1" applyFill="1" applyAlignment="1">
      <alignment vertical="center"/>
    </xf>
    <xf numFmtId="0" fontId="19" fillId="0" borderId="31" xfId="24" applyFont="1" applyBorder="1" applyAlignment="1">
      <alignment horizontal="center" vertical="center"/>
    </xf>
    <xf numFmtId="165" fontId="19" fillId="10" borderId="31" xfId="42" applyNumberFormat="1" applyFont="1" applyFill="1" applyBorder="1" applyAlignment="1">
      <alignment horizontal="center" vertical="center"/>
    </xf>
    <xf numFmtId="165" fontId="7" fillId="0" borderId="32" xfId="2" applyNumberFormat="1" applyFont="1" applyBorder="1" applyAlignment="1" applyProtection="1">
      <alignment horizontal="center" vertical="center"/>
    </xf>
    <xf numFmtId="165" fontId="19" fillId="10" borderId="14" xfId="42" applyNumberFormat="1" applyFont="1" applyFill="1" applyBorder="1" applyAlignment="1">
      <alignment horizontal="center" vertical="center"/>
    </xf>
    <xf numFmtId="165" fontId="7" fillId="0" borderId="34" xfId="2" applyNumberFormat="1" applyFont="1" applyBorder="1" applyAlignment="1" applyProtection="1">
      <alignment horizontal="center" vertical="center"/>
    </xf>
    <xf numFmtId="0" fontId="7" fillId="0" borderId="35" xfId="0" applyFont="1" applyBorder="1" applyAlignment="1">
      <alignment horizontal="center" vertical="center"/>
    </xf>
    <xf numFmtId="0" fontId="19" fillId="0" borderId="36" xfId="24" applyFont="1" applyBorder="1" applyAlignment="1">
      <alignment horizontal="center" vertical="center"/>
    </xf>
    <xf numFmtId="0" fontId="7" fillId="0" borderId="36" xfId="6" applyFont="1" applyBorder="1" applyAlignment="1">
      <alignment horizontal="center" vertical="center"/>
    </xf>
    <xf numFmtId="165" fontId="19" fillId="10" borderId="36" xfId="42" applyNumberFormat="1" applyFont="1" applyFill="1" applyBorder="1" applyAlignment="1">
      <alignment horizontal="center" vertical="center"/>
    </xf>
    <xf numFmtId="165" fontId="7" fillId="0" borderId="37" xfId="2" applyNumberFormat="1" applyFont="1" applyBorder="1" applyAlignment="1" applyProtection="1">
      <alignment horizontal="center" vertical="center"/>
    </xf>
    <xf numFmtId="4" fontId="8" fillId="0" borderId="63" xfId="0" applyNumberFormat="1" applyFont="1" applyBorder="1" applyAlignment="1">
      <alignment horizontal="right" vertical="center" wrapText="1"/>
    </xf>
    <xf numFmtId="4" fontId="61" fillId="0" borderId="64" xfId="0" applyNumberFormat="1" applyFont="1" applyBorder="1" applyAlignment="1">
      <alignment horizontal="right" vertical="center" wrapText="1"/>
    </xf>
    <xf numFmtId="4" fontId="24" fillId="0" borderId="65" xfId="0" applyNumberFormat="1" applyFont="1" applyBorder="1" applyAlignment="1">
      <alignment horizontal="right" vertical="center" wrapText="1"/>
    </xf>
    <xf numFmtId="0" fontId="9" fillId="4" borderId="0" xfId="0" applyFont="1" applyFill="1" applyAlignment="1">
      <alignment vertical="center" wrapText="1"/>
    </xf>
    <xf numFmtId="0" fontId="7" fillId="4" borderId="0" xfId="0" applyFont="1" applyFill="1" applyAlignment="1">
      <alignment vertical="center" wrapText="1"/>
    </xf>
    <xf numFmtId="167" fontId="17" fillId="4" borderId="0" xfId="0" applyNumberFormat="1" applyFont="1" applyFill="1" applyAlignment="1">
      <alignment horizontal="left" vertical="center" wrapText="1"/>
    </xf>
    <xf numFmtId="3" fontId="7" fillId="0" borderId="0" xfId="0" applyNumberFormat="1" applyFont="1" applyAlignment="1">
      <alignment horizontal="center" vertical="center" wrapText="1"/>
    </xf>
    <xf numFmtId="4" fontId="7" fillId="13" borderId="49" xfId="6" applyNumberFormat="1" applyFont="1" applyFill="1" applyBorder="1" applyAlignment="1">
      <alignment horizontal="center" vertical="center"/>
    </xf>
    <xf numFmtId="0" fontId="7" fillId="0" borderId="68" xfId="0" applyFont="1" applyBorder="1" applyAlignment="1">
      <alignment vertical="center" wrapText="1"/>
    </xf>
    <xf numFmtId="2" fontId="25" fillId="0" borderId="0" xfId="0" applyNumberFormat="1" applyFont="1" applyAlignment="1">
      <alignment horizontal="center" vertical="center" wrapText="1"/>
    </xf>
    <xf numFmtId="166" fontId="7" fillId="0" borderId="14" xfId="0" applyNumberFormat="1" applyFont="1" applyBorder="1" applyAlignment="1">
      <alignment horizontal="center" vertical="center" wrapText="1"/>
    </xf>
    <xf numFmtId="4" fontId="7" fillId="0" borderId="0" xfId="0" applyNumberFormat="1" applyFont="1" applyAlignment="1">
      <alignment horizontal="center" vertical="center" wrapText="1"/>
    </xf>
    <xf numFmtId="166" fontId="7" fillId="0" borderId="0" xfId="0" applyNumberFormat="1" applyFont="1" applyAlignment="1">
      <alignment horizontal="center"/>
    </xf>
    <xf numFmtId="166" fontId="7" fillId="0" borderId="49" xfId="0" applyNumberFormat="1" applyFont="1" applyBorder="1" applyAlignment="1">
      <alignment horizontal="center" vertical="center" wrapText="1"/>
    </xf>
    <xf numFmtId="166" fontId="9" fillId="0" borderId="58" xfId="0" applyNumberFormat="1" applyFont="1" applyBorder="1" applyAlignment="1">
      <alignment horizontal="center" vertical="center" wrapText="1"/>
    </xf>
    <xf numFmtId="166" fontId="9" fillId="0" borderId="59" xfId="0" applyNumberFormat="1" applyFont="1" applyBorder="1" applyAlignment="1">
      <alignment horizontal="center" vertical="center" wrapText="1"/>
    </xf>
    <xf numFmtId="166" fontId="9" fillId="0" borderId="60" xfId="0" applyNumberFormat="1" applyFont="1" applyBorder="1" applyAlignment="1">
      <alignment horizontal="center" vertical="center" wrapText="1"/>
    </xf>
    <xf numFmtId="0" fontId="19" fillId="0" borderId="49" xfId="6" applyFont="1" applyBorder="1" applyAlignment="1">
      <alignment horizontal="center" vertical="center"/>
    </xf>
    <xf numFmtId="0" fontId="19" fillId="0" borderId="49" xfId="6" applyFont="1" applyBorder="1" applyAlignment="1">
      <alignment horizontal="left" vertical="center"/>
    </xf>
    <xf numFmtId="0" fontId="65" fillId="0" borderId="0" xfId="0" applyFont="1"/>
    <xf numFmtId="166" fontId="7" fillId="0" borderId="14" xfId="0" applyNumberFormat="1" applyFont="1" applyBorder="1" applyAlignment="1">
      <alignment horizontal="center" vertical="center"/>
    </xf>
    <xf numFmtId="166" fontId="7" fillId="0" borderId="40" xfId="0" applyNumberFormat="1" applyFont="1" applyBorder="1" applyAlignment="1">
      <alignment horizontal="center" vertical="center"/>
    </xf>
    <xf numFmtId="166" fontId="7" fillId="0" borderId="49" xfId="0" applyNumberFormat="1" applyFont="1" applyBorder="1" applyAlignment="1">
      <alignment horizontal="center" vertical="center"/>
    </xf>
    <xf numFmtId="0" fontId="25" fillId="2" borderId="1" xfId="6" applyFont="1" applyFill="1" applyBorder="1" applyAlignment="1">
      <alignment vertical="center"/>
    </xf>
    <xf numFmtId="0" fontId="7" fillId="0" borderId="6" xfId="0" applyFont="1" applyBorder="1" applyAlignment="1">
      <alignment vertical="center" wrapText="1"/>
    </xf>
    <xf numFmtId="2" fontId="7" fillId="0" borderId="0" xfId="0" applyNumberFormat="1" applyFont="1"/>
    <xf numFmtId="0" fontId="28" fillId="2" borderId="2" xfId="0" applyFont="1" applyFill="1" applyBorder="1" applyAlignment="1">
      <alignment vertical="center"/>
    </xf>
    <xf numFmtId="0" fontId="45" fillId="2" borderId="3" xfId="0" applyFont="1" applyFill="1" applyBorder="1" applyAlignment="1">
      <alignment vertical="center"/>
    </xf>
    <xf numFmtId="1" fontId="7" fillId="0" borderId="0" xfId="0" applyNumberFormat="1" applyFont="1" applyAlignment="1">
      <alignment horizontal="center" vertical="center" wrapText="1"/>
    </xf>
    <xf numFmtId="0" fontId="7" fillId="0" borderId="6" xfId="62" applyFont="1" applyBorder="1" applyAlignment="1">
      <alignment horizontal="center" vertical="center"/>
    </xf>
    <xf numFmtId="0" fontId="25" fillId="2" borderId="2" xfId="0" applyFont="1" applyFill="1" applyBorder="1" applyAlignment="1">
      <alignment horizontal="left" vertical="center"/>
    </xf>
    <xf numFmtId="0" fontId="7" fillId="4" borderId="6" xfId="0" applyFont="1" applyFill="1" applyBorder="1" applyAlignment="1">
      <alignment horizontal="center" vertical="center"/>
    </xf>
    <xf numFmtId="0" fontId="7" fillId="4" borderId="24" xfId="0" applyFont="1" applyFill="1" applyBorder="1" applyAlignment="1">
      <alignment horizontal="center" vertical="center"/>
    </xf>
    <xf numFmtId="0" fontId="27" fillId="2" borderId="1" xfId="0" applyFont="1" applyFill="1" applyBorder="1" applyAlignment="1">
      <alignment horizontal="left" vertical="center"/>
    </xf>
    <xf numFmtId="0" fontId="27" fillId="2" borderId="2" xfId="0" applyFont="1" applyFill="1" applyBorder="1" applyAlignment="1">
      <alignment horizontal="left" vertical="center"/>
    </xf>
    <xf numFmtId="0" fontId="9" fillId="0" borderId="0" xfId="0" applyFont="1" applyAlignment="1">
      <alignment horizontal="center" wrapText="1"/>
    </xf>
    <xf numFmtId="0" fontId="9" fillId="0" borderId="0" xfId="0" applyFont="1" applyAlignment="1">
      <alignment horizontal="center"/>
    </xf>
    <xf numFmtId="0" fontId="9" fillId="0" borderId="0" xfId="0" applyFont="1" applyAlignment="1">
      <alignment horizontal="right" wrapText="1"/>
    </xf>
    <xf numFmtId="0" fontId="25" fillId="2" borderId="1" xfId="67" applyFont="1" applyFill="1" applyBorder="1" applyAlignment="1">
      <alignment vertical="center"/>
    </xf>
    <xf numFmtId="0" fontId="7" fillId="0" borderId="6" xfId="67" applyFont="1" applyBorder="1" applyAlignment="1">
      <alignment horizontal="center" vertical="center"/>
    </xf>
    <xf numFmtId="0" fontId="7" fillId="0" borderId="6" xfId="67" applyFont="1" applyBorder="1" applyAlignment="1">
      <alignment horizontal="left" vertical="center"/>
    </xf>
    <xf numFmtId="0" fontId="67" fillId="0" borderId="0" xfId="0" applyFont="1"/>
    <xf numFmtId="0" fontId="7" fillId="0" borderId="7" xfId="67" applyFont="1" applyBorder="1" applyAlignment="1">
      <alignment horizontal="center" vertical="center"/>
    </xf>
    <xf numFmtId="0" fontId="7" fillId="0" borderId="7" xfId="67" applyFont="1" applyBorder="1" applyAlignment="1">
      <alignment horizontal="left" vertical="center"/>
    </xf>
    <xf numFmtId="0" fontId="19" fillId="0" borderId="6" xfId="67" applyFont="1" applyBorder="1" applyAlignment="1">
      <alignment horizontal="center" vertical="center"/>
    </xf>
    <xf numFmtId="0" fontId="19" fillId="0" borderId="6" xfId="67" applyFont="1" applyBorder="1" applyAlignment="1">
      <alignment horizontal="left" vertical="center"/>
    </xf>
    <xf numFmtId="0" fontId="25" fillId="2" borderId="1" xfId="0" applyFont="1" applyFill="1" applyBorder="1" applyAlignment="1">
      <alignment vertical="center"/>
    </xf>
    <xf numFmtId="0" fontId="19" fillId="0" borderId="6" xfId="9" applyFont="1" applyBorder="1" applyAlignment="1">
      <alignment horizontal="center" vertical="center"/>
    </xf>
    <xf numFmtId="0" fontId="7" fillId="0" borderId="6" xfId="68" applyFont="1" applyBorder="1" applyAlignment="1">
      <alignment vertical="center"/>
    </xf>
    <xf numFmtId="0" fontId="7" fillId="0" borderId="6" xfId="68" applyFont="1" applyBorder="1" applyAlignment="1">
      <alignment horizontal="center" vertical="center"/>
    </xf>
    <xf numFmtId="0" fontId="0" fillId="2" borderId="2" xfId="0" applyFill="1" applyBorder="1"/>
    <xf numFmtId="0" fontId="25" fillId="2" borderId="1" xfId="69" applyFont="1" applyFill="1" applyBorder="1" applyAlignment="1">
      <alignment horizontal="left" vertical="center"/>
    </xf>
    <xf numFmtId="0" fontId="68" fillId="2" borderId="2" xfId="0" applyFont="1" applyFill="1" applyBorder="1" applyAlignment="1">
      <alignment horizontal="left" vertical="center"/>
    </xf>
    <xf numFmtId="0" fontId="26" fillId="2" borderId="3" xfId="0" applyFont="1" applyFill="1" applyBorder="1"/>
    <xf numFmtId="0" fontId="7" fillId="4" borderId="0" xfId="0" applyFont="1" applyFill="1" applyAlignment="1">
      <alignment horizontal="center" wrapText="1"/>
    </xf>
    <xf numFmtId="0" fontId="19" fillId="0" borderId="6" xfId="70" applyFont="1" applyBorder="1" applyAlignment="1">
      <alignment horizontal="center" vertical="center"/>
    </xf>
    <xf numFmtId="0" fontId="7" fillId="0" borderId="6" xfId="70" applyFont="1" applyBorder="1" applyAlignment="1">
      <alignment horizontal="left" vertical="center"/>
    </xf>
    <xf numFmtId="0" fontId="7" fillId="0" borderId="6" xfId="70" applyFont="1" applyBorder="1" applyAlignment="1">
      <alignment horizontal="center" vertical="center"/>
    </xf>
    <xf numFmtId="0" fontId="25" fillId="2" borderId="1" xfId="69" applyFont="1" applyFill="1" applyBorder="1" applyAlignment="1">
      <alignment vertical="center"/>
    </xf>
    <xf numFmtId="0" fontId="25" fillId="2" borderId="2" xfId="0" applyFont="1" applyFill="1" applyBorder="1" applyAlignment="1">
      <alignment vertical="center"/>
    </xf>
    <xf numFmtId="0" fontId="19" fillId="0" borderId="6" xfId="71" applyFont="1" applyBorder="1" applyAlignment="1">
      <alignment horizontal="center" vertical="center"/>
    </xf>
    <xf numFmtId="0" fontId="7" fillId="0" borderId="6" xfId="71" applyFont="1" applyBorder="1" applyAlignment="1">
      <alignment vertical="center"/>
    </xf>
    <xf numFmtId="0" fontId="7" fillId="0" borderId="6" xfId="71" applyFont="1" applyBorder="1" applyAlignment="1">
      <alignment horizontal="center" vertical="center"/>
    </xf>
    <xf numFmtId="0" fontId="0" fillId="0" borderId="6" xfId="0" applyBorder="1"/>
    <xf numFmtId="0" fontId="19" fillId="0" borderId="6" xfId="27" applyFont="1" applyBorder="1" applyAlignment="1">
      <alignment horizontal="center" vertical="center"/>
    </xf>
    <xf numFmtId="0" fontId="19" fillId="0" borderId="6" xfId="72" applyFont="1" applyBorder="1" applyAlignment="1">
      <alignment horizontal="left" vertical="center"/>
    </xf>
    <xf numFmtId="0" fontId="19" fillId="0" borderId="6" xfId="72" applyFont="1" applyBorder="1" applyAlignment="1">
      <alignment horizontal="center"/>
    </xf>
    <xf numFmtId="0" fontId="25" fillId="2" borderId="2" xfId="67" applyFont="1" applyFill="1" applyBorder="1" applyAlignment="1">
      <alignment vertical="center"/>
    </xf>
    <xf numFmtId="0" fontId="7" fillId="0" borderId="6" xfId="67" applyFont="1" applyBorder="1" applyAlignment="1">
      <alignment horizontal="left" vertical="center" wrapText="1"/>
    </xf>
    <xf numFmtId="0" fontId="28" fillId="2" borderId="25" xfId="0" applyFont="1" applyFill="1" applyBorder="1" applyAlignment="1">
      <alignment vertical="center"/>
    </xf>
    <xf numFmtId="0" fontId="7" fillId="0" borderId="13" xfId="0" applyFont="1" applyBorder="1" applyAlignment="1">
      <alignment horizontal="center" vertical="center"/>
    </xf>
    <xf numFmtId="0" fontId="19" fillId="0" borderId="6" xfId="31" applyFont="1" applyBorder="1" applyAlignment="1">
      <alignment horizontal="center" vertical="center"/>
    </xf>
    <xf numFmtId="0" fontId="7" fillId="0" borderId="3" xfId="67" applyFont="1" applyBorder="1" applyAlignment="1">
      <alignment horizontal="center" vertical="center"/>
    </xf>
    <xf numFmtId="0" fontId="7" fillId="0" borderId="0" xfId="0" applyFont="1" applyAlignment="1">
      <alignment horizontal="left" vertical="center"/>
    </xf>
    <xf numFmtId="0" fontId="7" fillId="0" borderId="6" xfId="0" applyFont="1" applyBorder="1" applyAlignment="1">
      <alignment horizontal="left" vertical="center" wrapText="1"/>
    </xf>
    <xf numFmtId="0" fontId="19" fillId="0" borderId="0" xfId="0" applyFont="1" applyAlignment="1">
      <alignment horizontal="center" vertical="center" wrapText="1"/>
    </xf>
    <xf numFmtId="0" fontId="19" fillId="0" borderId="0" xfId="0" applyFont="1" applyAlignment="1">
      <alignment horizontal="center" vertical="center"/>
    </xf>
    <xf numFmtId="0" fontId="19" fillId="0" borderId="0" xfId="0" applyFont="1"/>
    <xf numFmtId="0" fontId="19" fillId="0" borderId="6" xfId="14" applyFont="1" applyBorder="1" applyAlignment="1">
      <alignment horizontal="center" vertical="center"/>
    </xf>
    <xf numFmtId="0" fontId="7" fillId="0" borderId="6" xfId="73" applyFont="1" applyBorder="1" applyAlignment="1">
      <alignment vertical="center" wrapText="1"/>
    </xf>
    <xf numFmtId="0" fontId="7" fillId="0" borderId="6" xfId="73" applyFont="1" applyBorder="1" applyAlignment="1">
      <alignment horizontal="center" vertical="center"/>
    </xf>
    <xf numFmtId="0" fontId="7" fillId="0" borderId="6" xfId="74" applyFont="1" applyBorder="1" applyAlignment="1">
      <alignment vertical="center" wrapText="1"/>
    </xf>
    <xf numFmtId="0" fontId="7" fillId="0" borderId="6" xfId="74" applyFont="1" applyBorder="1" applyAlignment="1">
      <alignment horizontal="center" vertical="center"/>
    </xf>
    <xf numFmtId="0" fontId="7" fillId="0" borderId="1" xfId="0" applyFont="1" applyBorder="1" applyAlignment="1">
      <alignment horizontal="center" vertical="center"/>
    </xf>
    <xf numFmtId="0" fontId="19" fillId="0" borderId="6" xfId="75" applyFont="1" applyBorder="1" applyAlignment="1">
      <alignment horizontal="center" vertical="center"/>
    </xf>
    <xf numFmtId="0" fontId="19" fillId="0" borderId="6" xfId="75" applyFont="1" applyBorder="1" applyAlignment="1">
      <alignment horizontal="left" vertical="center" wrapText="1"/>
    </xf>
    <xf numFmtId="0" fontId="7" fillId="0" borderId="3" xfId="76" applyFont="1" applyBorder="1" applyAlignment="1">
      <alignment horizontal="center" vertical="center"/>
    </xf>
    <xf numFmtId="0" fontId="19" fillId="0" borderId="6" xfId="20" applyFont="1" applyBorder="1" applyAlignment="1">
      <alignment horizontal="center" vertical="center"/>
    </xf>
    <xf numFmtId="0" fontId="19" fillId="0" borderId="6" xfId="77" applyFont="1" applyBorder="1" applyAlignment="1">
      <alignment horizontal="left" vertical="center"/>
    </xf>
    <xf numFmtId="0" fontId="7" fillId="0" borderId="6" xfId="76" applyFont="1" applyBorder="1" applyAlignment="1">
      <alignment horizontal="center" vertical="center"/>
    </xf>
    <xf numFmtId="0" fontId="7" fillId="0" borderId="6" xfId="77" applyFont="1" applyBorder="1" applyAlignment="1">
      <alignment vertical="center"/>
    </xf>
    <xf numFmtId="0" fontId="7" fillId="0" borderId="6" xfId="77" applyFont="1" applyBorder="1" applyAlignment="1">
      <alignment horizontal="center" vertical="center"/>
    </xf>
    <xf numFmtId="0" fontId="52" fillId="0" borderId="6" xfId="0" applyFont="1" applyBorder="1" applyAlignment="1">
      <alignment horizontal="center" vertical="center" wrapText="1"/>
    </xf>
    <xf numFmtId="0" fontId="7" fillId="0" borderId="6" xfId="0" applyFont="1" applyBorder="1" applyAlignment="1">
      <alignment horizontal="center"/>
    </xf>
    <xf numFmtId="0" fontId="19" fillId="0" borderId="6" xfId="78" applyFont="1" applyBorder="1" applyAlignment="1">
      <alignment horizontal="center" vertical="center"/>
    </xf>
    <xf numFmtId="0" fontId="19" fillId="0" borderId="6" xfId="78" applyFont="1" applyBorder="1" applyAlignment="1">
      <alignment horizontal="left" vertical="center"/>
    </xf>
    <xf numFmtId="9" fontId="17" fillId="0" borderId="1" xfId="0" applyNumberFormat="1" applyFont="1" applyBorder="1" applyAlignment="1">
      <alignment vertical="center" wrapText="1"/>
    </xf>
    <xf numFmtId="0" fontId="0" fillId="0" borderId="5" xfId="0" applyBorder="1" applyAlignment="1">
      <alignment vertical="center"/>
    </xf>
    <xf numFmtId="0" fontId="52" fillId="4" borderId="6" xfId="0" applyFont="1" applyFill="1" applyBorder="1" applyAlignment="1">
      <alignment horizontal="center" vertical="center" wrapText="1"/>
    </xf>
    <xf numFmtId="0" fontId="7" fillId="4" borderId="6" xfId="0" applyFont="1" applyFill="1" applyBorder="1" applyAlignment="1">
      <alignment vertical="center" wrapText="1"/>
    </xf>
    <xf numFmtId="0" fontId="7" fillId="4" borderId="6" xfId="0" applyFont="1" applyFill="1" applyBorder="1" applyAlignment="1">
      <alignment horizontal="center" vertical="center" wrapText="1"/>
    </xf>
    <xf numFmtId="0" fontId="19" fillId="0" borderId="6" xfId="40" applyFont="1" applyBorder="1" applyAlignment="1">
      <alignment horizontal="center" vertical="center"/>
    </xf>
    <xf numFmtId="0" fontId="19" fillId="0" borderId="6" xfId="36" applyFont="1" applyBorder="1" applyAlignment="1">
      <alignment horizontal="center" vertical="center"/>
    </xf>
    <xf numFmtId="0" fontId="19" fillId="4" borderId="6" xfId="0" applyFont="1" applyFill="1" applyBorder="1" applyAlignment="1">
      <alignment horizontal="left" vertical="center"/>
    </xf>
    <xf numFmtId="0" fontId="7" fillId="0" borderId="6" xfId="66" applyFont="1" applyBorder="1" applyAlignment="1">
      <alignment horizontal="center" vertical="center"/>
    </xf>
    <xf numFmtId="0" fontId="19" fillId="0" borderId="6" xfId="64" applyFont="1" applyBorder="1" applyAlignment="1">
      <alignment horizontal="center" vertical="center"/>
    </xf>
    <xf numFmtId="0" fontId="19" fillId="4" borderId="6" xfId="0" applyFont="1" applyFill="1" applyBorder="1" applyAlignment="1">
      <alignment horizontal="center" vertical="center" wrapText="1"/>
    </xf>
    <xf numFmtId="0" fontId="19" fillId="0" borderId="6" xfId="65" applyFont="1" applyBorder="1" applyAlignment="1">
      <alignment horizontal="center" vertical="center" wrapText="1"/>
    </xf>
    <xf numFmtId="0" fontId="19" fillId="0" borderId="6" xfId="64" applyFont="1" applyBorder="1" applyAlignment="1">
      <alignment horizontal="left" vertical="center"/>
    </xf>
    <xf numFmtId="0" fontId="19" fillId="4" borderId="6" xfId="0" applyFont="1" applyFill="1" applyBorder="1" applyAlignment="1">
      <alignment horizontal="left" vertical="center" wrapText="1"/>
    </xf>
    <xf numFmtId="0" fontId="19" fillId="0" borderId="6" xfId="65" applyFont="1" applyBorder="1" applyAlignment="1">
      <alignment horizontal="left" vertical="center" wrapText="1"/>
    </xf>
    <xf numFmtId="2" fontId="8" fillId="0" borderId="8" xfId="0" applyNumberFormat="1" applyFont="1" applyBorder="1" applyAlignment="1">
      <alignment horizontal="center" vertical="center" wrapText="1"/>
    </xf>
    <xf numFmtId="0" fontId="27" fillId="2" borderId="0" xfId="0" applyFont="1" applyFill="1" applyAlignment="1">
      <alignment horizontal="left" vertical="center"/>
    </xf>
    <xf numFmtId="0" fontId="26" fillId="2" borderId="0" xfId="0" applyFont="1" applyFill="1" applyAlignment="1">
      <alignment horizontal="left" vertical="center"/>
    </xf>
    <xf numFmtId="0" fontId="27" fillId="2" borderId="38" xfId="0" applyFont="1" applyFill="1" applyBorder="1" applyAlignment="1">
      <alignment horizontal="left" vertical="center"/>
    </xf>
    <xf numFmtId="0" fontId="7" fillId="2" borderId="82" xfId="0" applyFont="1" applyFill="1" applyBorder="1" applyAlignment="1">
      <alignment vertical="center"/>
    </xf>
    <xf numFmtId="0" fontId="26" fillId="2" borderId="2" xfId="0" applyFont="1" applyFill="1" applyBorder="1" applyAlignment="1">
      <alignment horizontal="left" vertical="center"/>
    </xf>
    <xf numFmtId="0" fontId="0" fillId="2" borderId="83" xfId="0" applyFill="1" applyBorder="1" applyAlignment="1">
      <alignment vertical="center"/>
    </xf>
    <xf numFmtId="0" fontId="68" fillId="2" borderId="83" xfId="0" applyFont="1" applyFill="1" applyBorder="1" applyAlignment="1">
      <alignment horizontal="left" vertical="center"/>
    </xf>
    <xf numFmtId="0" fontId="7" fillId="2" borderId="3" xfId="0" applyFont="1" applyFill="1" applyBorder="1"/>
    <xf numFmtId="0" fontId="69" fillId="2" borderId="3" xfId="0" applyFont="1" applyFill="1" applyBorder="1" applyAlignment="1">
      <alignment vertical="center"/>
    </xf>
    <xf numFmtId="2" fontId="52" fillId="0" borderId="6" xfId="0" applyNumberFormat="1" applyFont="1" applyBorder="1" applyAlignment="1">
      <alignment horizontal="center" vertical="center" wrapText="1"/>
    </xf>
    <xf numFmtId="2" fontId="7" fillId="4" borderId="6" xfId="2" applyNumberFormat="1" applyFont="1" applyFill="1" applyBorder="1" applyAlignment="1">
      <alignment horizontal="center" vertical="center"/>
    </xf>
    <xf numFmtId="0" fontId="25" fillId="2" borderId="1" xfId="35" applyFont="1" applyFill="1" applyBorder="1" applyAlignment="1">
      <alignment horizontal="left" vertical="center"/>
    </xf>
    <xf numFmtId="0" fontId="25" fillId="2" borderId="2" xfId="35" applyFont="1" applyFill="1" applyBorder="1" applyAlignment="1">
      <alignment horizontal="left" vertical="center"/>
    </xf>
    <xf numFmtId="0" fontId="7" fillId="2" borderId="3" xfId="0" applyFont="1" applyFill="1" applyBorder="1" applyAlignment="1">
      <alignment horizontal="left" vertical="center"/>
    </xf>
    <xf numFmtId="0" fontId="9" fillId="2" borderId="3" xfId="0" applyFont="1" applyFill="1" applyBorder="1" applyAlignment="1">
      <alignment horizontal="left" vertical="center"/>
    </xf>
    <xf numFmtId="0" fontId="7" fillId="0" borderId="24" xfId="0" applyFont="1" applyBorder="1" applyAlignment="1">
      <alignment horizontal="center" vertical="center"/>
    </xf>
    <xf numFmtId="0" fontId="19" fillId="0" borderId="24" xfId="0" applyFont="1" applyBorder="1" applyAlignment="1">
      <alignment horizontal="center" vertical="center"/>
    </xf>
    <xf numFmtId="0" fontId="19" fillId="0" borderId="24" xfId="0" applyFont="1" applyBorder="1" applyAlignment="1">
      <alignment vertical="center"/>
    </xf>
    <xf numFmtId="0" fontId="7" fillId="0" borderId="24" xfId="35" applyFont="1" applyBorder="1" applyAlignment="1">
      <alignment horizontal="center" vertical="center"/>
    </xf>
    <xf numFmtId="0" fontId="19" fillId="0" borderId="24" xfId="0" applyFont="1" applyBorder="1" applyAlignment="1">
      <alignment horizontal="left" vertical="center" wrapText="1"/>
    </xf>
    <xf numFmtId="0" fontId="7" fillId="0" borderId="85" xfId="0" applyFont="1" applyBorder="1" applyAlignment="1">
      <alignment horizontal="center" vertical="center"/>
    </xf>
    <xf numFmtId="2" fontId="7" fillId="0" borderId="86" xfId="2" applyNumberFormat="1" applyFont="1" applyBorder="1" applyAlignment="1">
      <alignment horizontal="center" vertical="center"/>
    </xf>
    <xf numFmtId="2" fontId="7" fillId="0" borderId="79" xfId="2" applyNumberFormat="1" applyFont="1" applyBorder="1" applyAlignment="1">
      <alignment horizontal="center" vertical="center"/>
    </xf>
    <xf numFmtId="0" fontId="7" fillId="0" borderId="24" xfId="62" applyFont="1" applyBorder="1" applyAlignment="1">
      <alignment horizontal="left" vertical="center"/>
    </xf>
    <xf numFmtId="0" fontId="7" fillId="0" borderId="24" xfId="62" applyFont="1" applyBorder="1" applyAlignment="1">
      <alignment horizontal="center" vertical="center"/>
    </xf>
    <xf numFmtId="0" fontId="35" fillId="0" borderId="24" xfId="0" applyFont="1" applyBorder="1" applyAlignment="1">
      <alignment horizontal="center" vertical="center"/>
    </xf>
    <xf numFmtId="0" fontId="19" fillId="0" borderId="24" xfId="64" applyFont="1" applyBorder="1" applyAlignment="1">
      <alignment horizontal="left" vertical="center"/>
    </xf>
    <xf numFmtId="0" fontId="19" fillId="4" borderId="24" xfId="0" applyFont="1" applyFill="1" applyBorder="1" applyAlignment="1">
      <alignment horizontal="left" vertical="center" wrapText="1"/>
    </xf>
    <xf numFmtId="0" fontId="19" fillId="0" borderId="24" xfId="65" applyFont="1" applyBorder="1" applyAlignment="1">
      <alignment horizontal="left" vertical="center" wrapText="1"/>
    </xf>
    <xf numFmtId="0" fontId="7" fillId="0" borderId="24" xfId="66" applyFont="1" applyBorder="1" applyAlignment="1">
      <alignment horizontal="center" vertical="center"/>
    </xf>
    <xf numFmtId="0" fontId="19" fillId="0" borderId="47" xfId="0" applyFont="1" applyBorder="1" applyAlignment="1">
      <alignment horizontal="left" vertical="center"/>
    </xf>
    <xf numFmtId="0" fontId="7" fillId="4" borderId="47" xfId="63" applyFont="1" applyFill="1" applyBorder="1" applyAlignment="1">
      <alignment horizontal="center" vertical="center"/>
    </xf>
    <xf numFmtId="0" fontId="19" fillId="0" borderId="47" xfId="32" applyFont="1" applyBorder="1" applyAlignment="1">
      <alignment horizontal="center" vertical="center"/>
    </xf>
    <xf numFmtId="0" fontId="19" fillId="0" borderId="47" xfId="64" applyFont="1" applyBorder="1" applyAlignment="1">
      <alignment horizontal="center" vertical="center"/>
    </xf>
    <xf numFmtId="0" fontId="19" fillId="4" borderId="47" xfId="0" applyFont="1" applyFill="1" applyBorder="1" applyAlignment="1">
      <alignment horizontal="center" vertical="center" wrapText="1"/>
    </xf>
    <xf numFmtId="0" fontId="19" fillId="0" borderId="47" xfId="65" applyFont="1" applyBorder="1" applyAlignment="1">
      <alignment horizontal="center" vertical="center" wrapText="1"/>
    </xf>
    <xf numFmtId="0" fontId="7" fillId="4" borderId="85" xfId="0" applyFont="1" applyFill="1" applyBorder="1" applyAlignment="1">
      <alignment horizontal="center" vertical="center"/>
    </xf>
    <xf numFmtId="2" fontId="7" fillId="4" borderId="86" xfId="2" applyNumberFormat="1" applyFont="1" applyFill="1" applyBorder="1" applyAlignment="1">
      <alignment horizontal="center" vertical="center"/>
    </xf>
    <xf numFmtId="0" fontId="7" fillId="4" borderId="24" xfId="62" applyFont="1" applyFill="1" applyBorder="1" applyAlignment="1">
      <alignment horizontal="center" vertical="center"/>
    </xf>
    <xf numFmtId="0" fontId="19" fillId="0" borderId="0" xfId="0" applyFont="1" applyAlignment="1">
      <alignment wrapText="1"/>
    </xf>
    <xf numFmtId="2" fontId="19" fillId="0" borderId="0" xfId="0" applyNumberFormat="1" applyFont="1"/>
    <xf numFmtId="2" fontId="19" fillId="0" borderId="0" xfId="0" applyNumberFormat="1" applyFont="1" applyAlignment="1">
      <alignment wrapText="1"/>
    </xf>
    <xf numFmtId="0" fontId="19" fillId="0" borderId="0" xfId="0" applyFont="1" applyAlignment="1">
      <alignment vertical="center" wrapText="1"/>
    </xf>
    <xf numFmtId="0" fontId="38" fillId="0" borderId="0" xfId="0" applyFont="1" applyAlignment="1">
      <alignment vertical="center" wrapText="1"/>
    </xf>
    <xf numFmtId="0" fontId="19" fillId="0" borderId="40" xfId="24" applyFont="1" applyBorder="1" applyAlignment="1">
      <alignment horizontal="left" vertical="center"/>
    </xf>
    <xf numFmtId="0" fontId="7" fillId="0" borderId="88" xfId="0" applyFont="1" applyBorder="1" applyAlignment="1">
      <alignment horizontal="center" vertical="center"/>
    </xf>
    <xf numFmtId="2" fontId="7" fillId="0" borderId="89" xfId="2" applyNumberFormat="1" applyFont="1" applyBorder="1" applyAlignment="1">
      <alignment horizontal="center" vertical="center"/>
    </xf>
    <xf numFmtId="0" fontId="19" fillId="0" borderId="28" xfId="0" applyFont="1" applyBorder="1" applyAlignment="1">
      <alignment horizontal="center" vertical="center"/>
    </xf>
    <xf numFmtId="2" fontId="7" fillId="0" borderId="91" xfId="2" applyNumberFormat="1" applyFont="1" applyBorder="1" applyAlignment="1">
      <alignment horizontal="center" vertical="center"/>
    </xf>
    <xf numFmtId="0" fontId="19" fillId="0" borderId="92" xfId="0" applyFont="1" applyBorder="1" applyAlignment="1">
      <alignment horizontal="center" vertical="center"/>
    </xf>
    <xf numFmtId="0" fontId="19" fillId="0" borderId="68" xfId="36" applyFont="1" applyBorder="1" applyAlignment="1">
      <alignment horizontal="center" vertical="center"/>
    </xf>
    <xf numFmtId="0" fontId="19" fillId="4" borderId="27" xfId="0" applyFont="1" applyFill="1" applyBorder="1" applyAlignment="1">
      <alignment horizontal="left" vertical="center"/>
    </xf>
    <xf numFmtId="0" fontId="19" fillId="0" borderId="27" xfId="0" applyFont="1" applyBorder="1" applyAlignment="1">
      <alignment horizontal="center" vertical="center"/>
    </xf>
    <xf numFmtId="1" fontId="7" fillId="0" borderId="27" xfId="2" applyNumberFormat="1" applyFont="1" applyFill="1" applyBorder="1" applyAlignment="1">
      <alignment horizontal="center" vertical="center"/>
    </xf>
    <xf numFmtId="2" fontId="7" fillId="0" borderId="87" xfId="2" applyNumberFormat="1" applyFont="1" applyBorder="1" applyAlignment="1">
      <alignment horizontal="center" vertical="center"/>
    </xf>
    <xf numFmtId="0" fontId="7" fillId="4" borderId="84" xfId="63" applyFont="1" applyFill="1" applyBorder="1" applyAlignment="1">
      <alignment horizontal="center" vertical="center"/>
    </xf>
    <xf numFmtId="0" fontId="7" fillId="0" borderId="26" xfId="62" applyFont="1" applyBorder="1" applyAlignment="1">
      <alignment horizontal="left" vertical="center"/>
    </xf>
    <xf numFmtId="0" fontId="7" fillId="0" borderId="26" xfId="62" applyFont="1" applyBorder="1" applyAlignment="1">
      <alignment horizontal="center" vertical="center"/>
    </xf>
    <xf numFmtId="0" fontId="7" fillId="0" borderId="90" xfId="0" applyFont="1" applyBorder="1" applyAlignment="1">
      <alignment horizontal="center" vertical="center"/>
    </xf>
    <xf numFmtId="0" fontId="7" fillId="4" borderId="75" xfId="63" applyFont="1" applyFill="1" applyBorder="1" applyAlignment="1">
      <alignment horizontal="center" vertical="center"/>
    </xf>
    <xf numFmtId="0" fontId="7" fillId="0" borderId="28" xfId="62" applyFont="1" applyBorder="1" applyAlignment="1">
      <alignment horizontal="left" vertical="center"/>
    </xf>
    <xf numFmtId="0" fontId="7" fillId="0" borderId="28" xfId="62" applyFont="1" applyBorder="1" applyAlignment="1">
      <alignment horizontal="center" vertical="center"/>
    </xf>
    <xf numFmtId="0" fontId="19" fillId="0" borderId="75" xfId="0" applyFont="1" applyBorder="1" applyAlignment="1">
      <alignment horizontal="left" vertical="center"/>
    </xf>
    <xf numFmtId="0" fontId="19" fillId="0" borderId="26" xfId="0" applyFont="1" applyBorder="1" applyAlignment="1">
      <alignment horizontal="center" vertical="center"/>
    </xf>
    <xf numFmtId="0" fontId="19" fillId="0" borderId="84" xfId="0" applyFont="1" applyBorder="1" applyAlignment="1">
      <alignment horizontal="left" vertical="center"/>
    </xf>
    <xf numFmtId="0" fontId="19" fillId="0" borderId="28" xfId="0" applyFont="1" applyBorder="1" applyAlignment="1">
      <alignment horizontal="left" vertical="center" wrapText="1"/>
    </xf>
    <xf numFmtId="0" fontId="7" fillId="0" borderId="28" xfId="0" applyFont="1" applyBorder="1" applyAlignment="1">
      <alignment horizontal="center" vertical="center"/>
    </xf>
    <xf numFmtId="0" fontId="24" fillId="0" borderId="0" xfId="0" applyFont="1" applyAlignment="1">
      <alignment vertical="center"/>
    </xf>
    <xf numFmtId="0" fontId="24" fillId="0" borderId="0" xfId="0" applyFont="1"/>
    <xf numFmtId="2" fontId="24" fillId="0" borderId="0" xfId="0" applyNumberFormat="1" applyFont="1"/>
    <xf numFmtId="0" fontId="24" fillId="0" borderId="0" xfId="0" applyFont="1" applyAlignment="1">
      <alignment vertical="center" wrapText="1"/>
    </xf>
    <xf numFmtId="0" fontId="24" fillId="0" borderId="0" xfId="0" applyFont="1" applyAlignment="1">
      <alignment wrapText="1"/>
    </xf>
    <xf numFmtId="0" fontId="39" fillId="0" borderId="0" xfId="0" applyFont="1" applyAlignment="1">
      <alignment wrapText="1"/>
    </xf>
    <xf numFmtId="0" fontId="38" fillId="0" borderId="0" xfId="0" applyFont="1" applyAlignment="1">
      <alignment horizontal="center" vertical="center"/>
    </xf>
    <xf numFmtId="0" fontId="33" fillId="0" borderId="0" xfId="0" applyFont="1" applyAlignment="1">
      <alignment horizontal="center" vertical="center" wrapText="1"/>
    </xf>
    <xf numFmtId="0" fontId="40" fillId="0" borderId="0" xfId="0" applyFont="1" applyAlignment="1">
      <alignment horizontal="center" vertical="top"/>
    </xf>
    <xf numFmtId="0" fontId="0" fillId="0" borderId="0" xfId="0" applyAlignment="1">
      <alignment horizontal="left"/>
    </xf>
    <xf numFmtId="0" fontId="33" fillId="0" borderId="0" xfId="0" applyFont="1" applyAlignment="1">
      <alignment horizontal="center" vertical="center"/>
    </xf>
    <xf numFmtId="0" fontId="33" fillId="0" borderId="0" xfId="0" applyFont="1" applyAlignment="1">
      <alignment horizontal="left" vertical="center"/>
    </xf>
    <xf numFmtId="0" fontId="27" fillId="2" borderId="1" xfId="23" applyFont="1" applyFill="1" applyBorder="1" applyAlignment="1">
      <alignment horizontal="left" vertical="center"/>
    </xf>
    <xf numFmtId="0" fontId="27" fillId="2" borderId="2" xfId="23" applyFont="1" applyFill="1" applyBorder="1" applyAlignment="1">
      <alignment horizontal="left" vertical="center"/>
    </xf>
    <xf numFmtId="0" fontId="71" fillId="4" borderId="0" xfId="0" applyFont="1" applyFill="1" applyAlignment="1">
      <alignment horizontal="center" vertical="top" wrapText="1"/>
    </xf>
    <xf numFmtId="0" fontId="71" fillId="11" borderId="93" xfId="0" applyFont="1" applyFill="1" applyBorder="1" applyAlignment="1">
      <alignment horizontal="center" vertical="center"/>
    </xf>
    <xf numFmtId="0" fontId="71" fillId="11" borderId="47" xfId="0" applyFont="1" applyFill="1" applyBorder="1" applyAlignment="1">
      <alignment horizontal="center" vertical="center" wrapText="1"/>
    </xf>
    <xf numFmtId="0" fontId="71" fillId="11" borderId="12"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42" fillId="4" borderId="6" xfId="0" applyFont="1" applyFill="1" applyBorder="1" applyAlignment="1">
      <alignment horizontal="center" vertical="center" wrapText="1"/>
    </xf>
    <xf numFmtId="0" fontId="42" fillId="4" borderId="6" xfId="0" applyFont="1" applyFill="1" applyBorder="1" applyAlignment="1">
      <alignment horizontal="center" vertical="center"/>
    </xf>
    <xf numFmtId="0" fontId="42" fillId="4" borderId="77" xfId="0" applyFont="1" applyFill="1" applyBorder="1" applyAlignment="1">
      <alignment horizontal="center" vertical="center" wrapText="1"/>
    </xf>
    <xf numFmtId="1" fontId="7" fillId="0" borderId="28" xfId="0" applyNumberFormat="1" applyFont="1" applyBorder="1" applyAlignment="1">
      <alignment horizontal="center" vertical="center"/>
    </xf>
    <xf numFmtId="1" fontId="7" fillId="0" borderId="24" xfId="0" applyNumberFormat="1" applyFont="1" applyBorder="1" applyAlignment="1">
      <alignment horizontal="center" vertical="center"/>
    </xf>
    <xf numFmtId="1" fontId="7" fillId="4" borderId="24" xfId="62" applyNumberFormat="1" applyFont="1" applyFill="1" applyBorder="1" applyAlignment="1">
      <alignment horizontal="center" vertical="center"/>
    </xf>
    <xf numFmtId="1" fontId="7" fillId="4" borderId="24" xfId="0" applyNumberFormat="1" applyFont="1" applyFill="1" applyBorder="1" applyAlignment="1">
      <alignment horizontal="center" vertical="center"/>
    </xf>
    <xf numFmtId="2" fontId="17" fillId="0" borderId="0" xfId="0" applyNumberFormat="1" applyFont="1" applyAlignment="1">
      <alignment horizontal="left" vertical="center" wrapText="1"/>
    </xf>
    <xf numFmtId="1" fontId="7" fillId="4" borderId="24" xfId="66" applyNumberFormat="1" applyFont="1" applyFill="1" applyBorder="1" applyAlignment="1">
      <alignment horizontal="center" vertical="center"/>
    </xf>
    <xf numFmtId="0" fontId="51" fillId="4" borderId="0" xfId="0" applyFont="1" applyFill="1" applyAlignment="1">
      <alignment horizontal="center" vertical="center" wrapText="1"/>
    </xf>
    <xf numFmtId="0" fontId="19" fillId="0" borderId="16" xfId="0" applyFont="1" applyBorder="1" applyAlignment="1">
      <alignment horizontal="left" vertical="center"/>
    </xf>
    <xf numFmtId="2" fontId="17" fillId="4" borderId="6" xfId="0" applyNumberFormat="1" applyFont="1" applyFill="1" applyBorder="1" applyAlignment="1">
      <alignment horizontal="center" vertical="center" wrapText="1"/>
    </xf>
    <xf numFmtId="0" fontId="39" fillId="0" borderId="0" xfId="0" applyFont="1" applyAlignment="1">
      <alignment horizontal="center" vertical="center" wrapText="1"/>
    </xf>
    <xf numFmtId="0" fontId="40" fillId="4" borderId="6" xfId="0" applyFont="1" applyFill="1" applyBorder="1" applyAlignment="1">
      <alignment horizontal="center" vertical="center" wrapText="1"/>
    </xf>
    <xf numFmtId="0" fontId="19" fillId="4" borderId="49" xfId="0" applyFont="1" applyFill="1" applyBorder="1" applyAlignment="1">
      <alignment horizontal="left" vertical="center"/>
    </xf>
    <xf numFmtId="0" fontId="42" fillId="11" borderId="14" xfId="0" applyFont="1" applyFill="1" applyBorder="1" applyAlignment="1">
      <alignment horizontal="center" vertical="center" wrapText="1"/>
    </xf>
    <xf numFmtId="0" fontId="42" fillId="11" borderId="31" xfId="0" applyFont="1" applyFill="1" applyBorder="1" applyAlignment="1">
      <alignment horizontal="center" vertical="center" wrapText="1"/>
    </xf>
    <xf numFmtId="0" fontId="19" fillId="0" borderId="49" xfId="24" applyFont="1" applyBorder="1" applyAlignment="1">
      <alignment horizontal="left" vertical="center"/>
    </xf>
    <xf numFmtId="0" fontId="19" fillId="0" borderId="14" xfId="0" applyFont="1" applyBorder="1" applyAlignment="1">
      <alignment horizontal="left" vertical="center"/>
    </xf>
    <xf numFmtId="0" fontId="19" fillId="0" borderId="14" xfId="24" applyFont="1" applyBorder="1" applyAlignment="1">
      <alignment horizontal="left" vertical="center" wrapText="1"/>
    </xf>
    <xf numFmtId="166" fontId="7" fillId="4" borderId="49" xfId="6" applyNumberFormat="1" applyFont="1" applyFill="1" applyBorder="1" applyAlignment="1">
      <alignment horizontal="center" vertical="center"/>
    </xf>
    <xf numFmtId="166" fontId="19" fillId="0" borderId="14" xfId="15" applyNumberFormat="1" applyFont="1" applyBorder="1" applyAlignment="1">
      <alignment horizontal="center" vertical="center"/>
    </xf>
    <xf numFmtId="166" fontId="7" fillId="0" borderId="14" xfId="6" applyNumberFormat="1" applyFont="1" applyBorder="1" applyAlignment="1">
      <alignment horizontal="center" vertical="center"/>
    </xf>
    <xf numFmtId="166" fontId="7" fillId="0" borderId="40" xfId="6" applyNumberFormat="1" applyFont="1" applyBorder="1" applyAlignment="1">
      <alignment horizontal="center" vertical="center"/>
    </xf>
    <xf numFmtId="0" fontId="38" fillId="4" borderId="0" xfId="0" applyFont="1" applyFill="1" applyAlignment="1">
      <alignment horizontal="center" vertical="center"/>
    </xf>
    <xf numFmtId="0" fontId="19" fillId="4" borderId="0" xfId="0" applyFont="1" applyFill="1"/>
    <xf numFmtId="0" fontId="38" fillId="4" borderId="0" xfId="0" applyFont="1" applyFill="1" applyAlignment="1">
      <alignment horizontal="center" vertical="center" wrapText="1"/>
    </xf>
    <xf numFmtId="0" fontId="39" fillId="4" borderId="0" xfId="0" applyFont="1" applyFill="1"/>
    <xf numFmtId="0" fontId="29" fillId="4" borderId="0" xfId="0" applyFont="1" applyFill="1" applyAlignment="1">
      <alignment horizontal="center" vertical="center" wrapText="1"/>
    </xf>
    <xf numFmtId="0" fontId="25" fillId="4" borderId="0" xfId="0" applyFont="1" applyFill="1" applyAlignment="1">
      <alignment vertical="center"/>
    </xf>
    <xf numFmtId="0" fontId="38" fillId="4" borderId="0" xfId="0" applyFont="1" applyFill="1"/>
    <xf numFmtId="0" fontId="38" fillId="4" borderId="0" xfId="0" applyFont="1" applyFill="1" applyAlignment="1">
      <alignment vertical="center"/>
    </xf>
    <xf numFmtId="0" fontId="39" fillId="4" borderId="0" xfId="0" applyFont="1" applyFill="1" applyAlignment="1">
      <alignment horizontal="center" vertical="center" wrapText="1"/>
    </xf>
    <xf numFmtId="0" fontId="39" fillId="4" borderId="0" xfId="0" applyFont="1" applyFill="1" applyAlignment="1">
      <alignment horizontal="center" vertical="center"/>
    </xf>
    <xf numFmtId="0" fontId="30" fillId="4" borderId="0" xfId="0" applyFont="1" applyFill="1" applyAlignment="1">
      <alignment horizontal="center" vertical="center" wrapText="1"/>
    </xf>
    <xf numFmtId="0" fontId="31" fillId="4" borderId="0" xfId="0" applyFont="1" applyFill="1"/>
    <xf numFmtId="2" fontId="39" fillId="4" borderId="0" xfId="0" applyNumberFormat="1" applyFont="1" applyFill="1"/>
    <xf numFmtId="0" fontId="72" fillId="4" borderId="0" xfId="0" applyFont="1" applyFill="1" applyAlignment="1">
      <alignment horizontal="center" vertical="center" wrapText="1"/>
    </xf>
    <xf numFmtId="1" fontId="38" fillId="4" borderId="0" xfId="0" applyNumberFormat="1" applyFont="1" applyFill="1" applyAlignment="1">
      <alignment horizontal="center" vertical="center"/>
    </xf>
    <xf numFmtId="2" fontId="38" fillId="4" borderId="0" xfId="0" applyNumberFormat="1" applyFont="1" applyFill="1" applyAlignment="1">
      <alignment horizontal="center" vertical="center"/>
    </xf>
    <xf numFmtId="0" fontId="38" fillId="4" borderId="0" xfId="0" applyFont="1" applyFill="1" applyAlignment="1">
      <alignment horizontal="left" vertical="center"/>
    </xf>
    <xf numFmtId="164" fontId="38" fillId="4" borderId="0" xfId="0" applyNumberFormat="1" applyFont="1" applyFill="1" applyAlignment="1">
      <alignment horizontal="center" vertical="center"/>
    </xf>
    <xf numFmtId="0" fontId="39" fillId="4" borderId="0" xfId="0" applyFont="1" applyFill="1" applyAlignment="1">
      <alignment horizontal="left" vertical="center"/>
    </xf>
    <xf numFmtId="0" fontId="76" fillId="4" borderId="0" xfId="0" applyFont="1" applyFill="1" applyAlignment="1">
      <alignment horizontal="center" vertical="center"/>
    </xf>
    <xf numFmtId="0" fontId="76" fillId="4" borderId="0" xfId="0" applyFont="1" applyFill="1" applyAlignment="1">
      <alignment horizontal="center" vertical="center" wrapText="1"/>
    </xf>
    <xf numFmtId="1" fontId="76" fillId="4" borderId="0" xfId="0" applyNumberFormat="1" applyFont="1" applyFill="1" applyAlignment="1">
      <alignment horizontal="center" vertical="center"/>
    </xf>
    <xf numFmtId="1" fontId="76" fillId="4" borderId="0" xfId="0" applyNumberFormat="1" applyFont="1" applyFill="1" applyAlignment="1">
      <alignment horizontal="center" vertical="center" wrapText="1"/>
    </xf>
    <xf numFmtId="0" fontId="12" fillId="4" borderId="0" xfId="1" applyFont="1" applyFill="1" applyAlignment="1">
      <alignment horizontal="left" vertical="center"/>
    </xf>
    <xf numFmtId="1" fontId="38" fillId="4" borderId="0" xfId="0" applyNumberFormat="1" applyFont="1" applyFill="1" applyAlignment="1">
      <alignment horizontal="center" vertical="center" wrapText="1"/>
    </xf>
    <xf numFmtId="0" fontId="25" fillId="2" borderId="13" xfId="6" applyFont="1" applyFill="1" applyBorder="1" applyAlignment="1">
      <alignment vertical="center"/>
    </xf>
    <xf numFmtId="0" fontId="35" fillId="0" borderId="6" xfId="0" applyFont="1" applyBorder="1" applyAlignment="1">
      <alignment horizontal="center" vertical="center"/>
    </xf>
    <xf numFmtId="2" fontId="7" fillId="6" borderId="24" xfId="0" applyNumberFormat="1" applyFont="1" applyFill="1" applyBorder="1" applyAlignment="1">
      <alignment horizontal="center" vertical="center" wrapText="1"/>
    </xf>
    <xf numFmtId="2" fontId="7" fillId="6" borderId="0" xfId="0" applyNumberFormat="1" applyFont="1" applyFill="1" applyAlignment="1">
      <alignment horizontal="center" vertical="center"/>
    </xf>
    <xf numFmtId="2" fontId="19" fillId="6" borderId="24" xfId="0" applyNumberFormat="1" applyFont="1" applyFill="1" applyBorder="1" applyAlignment="1">
      <alignment horizontal="center" vertical="center"/>
    </xf>
    <xf numFmtId="2" fontId="7" fillId="6" borderId="24" xfId="0" applyNumberFormat="1" applyFont="1" applyFill="1" applyBorder="1" applyAlignment="1">
      <alignment horizontal="center" vertical="center"/>
    </xf>
    <xf numFmtId="2" fontId="19" fillId="6" borderId="26" xfId="0" applyNumberFormat="1" applyFont="1" applyFill="1" applyBorder="1" applyAlignment="1">
      <alignment horizontal="center" vertical="center"/>
    </xf>
    <xf numFmtId="2" fontId="7" fillId="6" borderId="26" xfId="0" applyNumberFormat="1" applyFont="1" applyFill="1" applyBorder="1" applyAlignment="1">
      <alignment horizontal="center" vertical="center"/>
    </xf>
    <xf numFmtId="2" fontId="19" fillId="6" borderId="27" xfId="0" applyNumberFormat="1" applyFont="1" applyFill="1" applyBorder="1" applyAlignment="1">
      <alignment horizontal="center" vertical="center"/>
    </xf>
    <xf numFmtId="2" fontId="19" fillId="6" borderId="28" xfId="0" applyNumberFormat="1" applyFont="1" applyFill="1" applyBorder="1" applyAlignment="1">
      <alignment horizontal="center" vertical="center"/>
    </xf>
    <xf numFmtId="2" fontId="7" fillId="6" borderId="28" xfId="0" applyNumberFormat="1" applyFont="1" applyFill="1" applyBorder="1" applyAlignment="1">
      <alignment horizontal="center" vertical="center"/>
    </xf>
    <xf numFmtId="0" fontId="19" fillId="0" borderId="26" xfId="0" applyFont="1" applyBorder="1" applyAlignment="1">
      <alignment vertical="center"/>
    </xf>
    <xf numFmtId="0" fontId="7" fillId="0" borderId="26" xfId="35" applyFont="1" applyBorder="1" applyAlignment="1">
      <alignment horizontal="center" vertical="center"/>
    </xf>
    <xf numFmtId="2" fontId="7" fillId="6" borderId="26" xfId="0" applyNumberFormat="1" applyFont="1" applyFill="1" applyBorder="1" applyAlignment="1">
      <alignment horizontal="center" vertical="center" wrapText="1"/>
    </xf>
    <xf numFmtId="0" fontId="19" fillId="0" borderId="26" xfId="34" applyFont="1" applyBorder="1" applyAlignment="1">
      <alignment horizontal="center" vertical="center" wrapText="1"/>
    </xf>
    <xf numFmtId="0" fontId="19" fillId="0" borderId="26" xfId="34" applyFont="1" applyBorder="1" applyAlignment="1">
      <alignment horizontal="left" vertical="center" wrapText="1"/>
    </xf>
    <xf numFmtId="0" fontId="7" fillId="0" borderId="26" xfId="33" applyFont="1" applyBorder="1" applyAlignment="1">
      <alignment horizontal="center" vertical="center"/>
    </xf>
    <xf numFmtId="0" fontId="19" fillId="0" borderId="28" xfId="0" applyFont="1" applyBorder="1" applyAlignment="1">
      <alignment vertical="center"/>
    </xf>
    <xf numFmtId="0" fontId="7" fillId="0" borderId="28" xfId="35" applyFont="1" applyBorder="1" applyAlignment="1">
      <alignment horizontal="center" vertical="center"/>
    </xf>
    <xf numFmtId="2" fontId="7" fillId="6" borderId="28" xfId="0" applyNumberFormat="1" applyFont="1" applyFill="1" applyBorder="1" applyAlignment="1">
      <alignment horizontal="center" vertical="center" wrapText="1"/>
    </xf>
    <xf numFmtId="0" fontId="19" fillId="0" borderId="28" xfId="0" applyFont="1" applyBorder="1" applyAlignment="1">
      <alignment horizontal="center" vertical="center" wrapText="1"/>
    </xf>
    <xf numFmtId="9" fontId="17" fillId="0" borderId="4" xfId="0" applyNumberFormat="1" applyFont="1" applyBorder="1" applyAlignment="1">
      <alignment horizontal="right" vertical="center" wrapText="1"/>
    </xf>
    <xf numFmtId="0" fontId="7" fillId="0" borderId="6" xfId="0" applyFont="1" applyBorder="1"/>
    <xf numFmtId="2" fontId="7" fillId="6" borderId="6" xfId="0" applyNumberFormat="1" applyFont="1" applyFill="1" applyBorder="1" applyAlignment="1">
      <alignment horizontal="center" vertical="center" wrapText="1"/>
    </xf>
    <xf numFmtId="2" fontId="7" fillId="6" borderId="6" xfId="0" applyNumberFormat="1" applyFont="1" applyFill="1" applyBorder="1" applyAlignment="1">
      <alignment horizontal="center" vertical="center"/>
    </xf>
    <xf numFmtId="164" fontId="17" fillId="4" borderId="6" xfId="0" applyNumberFormat="1" applyFont="1" applyFill="1" applyBorder="1" applyAlignment="1">
      <alignment horizontal="center" vertical="center" wrapText="1"/>
    </xf>
    <xf numFmtId="2" fontId="7" fillId="6" borderId="14" xfId="0" applyNumberFormat="1" applyFont="1" applyFill="1" applyBorder="1" applyAlignment="1">
      <alignment horizontal="center" vertical="center"/>
    </xf>
    <xf numFmtId="2" fontId="45" fillId="2" borderId="2" xfId="0" applyNumberFormat="1" applyFont="1" applyFill="1" applyBorder="1" applyAlignment="1">
      <alignment horizontal="center" vertical="center"/>
    </xf>
    <xf numFmtId="2" fontId="7" fillId="2" borderId="2" xfId="0" applyNumberFormat="1" applyFont="1" applyFill="1" applyBorder="1" applyAlignment="1">
      <alignment horizontal="center" vertical="center"/>
    </xf>
    <xf numFmtId="2" fontId="7" fillId="2" borderId="2" xfId="67" applyNumberFormat="1" applyFont="1" applyFill="1" applyBorder="1" applyAlignment="1">
      <alignment horizontal="center" vertical="center"/>
    </xf>
    <xf numFmtId="2" fontId="7" fillId="6" borderId="0" xfId="0" applyNumberFormat="1" applyFont="1" applyFill="1" applyAlignment="1">
      <alignment horizontal="center" vertical="center" wrapText="1"/>
    </xf>
    <xf numFmtId="2" fontId="19" fillId="12" borderId="8" xfId="7" applyNumberFormat="1" applyFont="1" applyFill="1" applyBorder="1" applyAlignment="1">
      <alignment horizontal="center" vertical="center"/>
    </xf>
    <xf numFmtId="2" fontId="19" fillId="12" borderId="6" xfId="7" applyNumberFormat="1" applyFont="1" applyFill="1" applyBorder="1" applyAlignment="1">
      <alignment horizontal="center" vertical="center"/>
    </xf>
    <xf numFmtId="2" fontId="19" fillId="12" borderId="7" xfId="7" applyNumberFormat="1" applyFont="1" applyFill="1" applyBorder="1" applyAlignment="1">
      <alignment horizontal="center" vertical="center"/>
    </xf>
    <xf numFmtId="0" fontId="7" fillId="0" borderId="1" xfId="6" applyFont="1" applyBorder="1" applyAlignment="1">
      <alignment horizontal="center" vertical="center"/>
    </xf>
    <xf numFmtId="0" fontId="19" fillId="0" borderId="1" xfId="0" applyFont="1" applyBorder="1" applyAlignment="1">
      <alignment horizontal="center" vertical="center"/>
    </xf>
    <xf numFmtId="0" fontId="35" fillId="0" borderId="1" xfId="0" applyFont="1" applyBorder="1" applyAlignment="1">
      <alignment horizontal="center" vertical="center"/>
    </xf>
    <xf numFmtId="2" fontId="19" fillId="6" borderId="6" xfId="0" applyNumberFormat="1" applyFont="1" applyFill="1" applyBorder="1" applyAlignment="1">
      <alignment horizontal="center" vertical="center"/>
    </xf>
    <xf numFmtId="0" fontId="25" fillId="2" borderId="45" xfId="6" applyFont="1" applyFill="1" applyBorder="1" applyAlignment="1">
      <alignment vertical="center"/>
    </xf>
    <xf numFmtId="0" fontId="27" fillId="2" borderId="45" xfId="23" applyFont="1" applyFill="1" applyBorder="1" applyAlignment="1">
      <alignment horizontal="left" vertical="center"/>
    </xf>
    <xf numFmtId="0" fontId="27" fillId="2" borderId="46" xfId="23" applyFont="1" applyFill="1" applyBorder="1" applyAlignment="1">
      <alignment horizontal="left" vertical="center"/>
    </xf>
    <xf numFmtId="0" fontId="27" fillId="2" borderId="45" xfId="0" applyFont="1" applyFill="1" applyBorder="1" applyAlignment="1">
      <alignment horizontal="left" vertical="center"/>
    </xf>
    <xf numFmtId="0" fontId="27" fillId="2" borderId="46" xfId="0" applyFont="1" applyFill="1" applyBorder="1" applyAlignment="1">
      <alignment horizontal="left" vertical="center"/>
    </xf>
    <xf numFmtId="0" fontId="67" fillId="0" borderId="0" xfId="0" applyFont="1" applyAlignment="1">
      <alignment wrapText="1"/>
    </xf>
    <xf numFmtId="0" fontId="17" fillId="0" borderId="0" xfId="0" applyFont="1" applyAlignment="1">
      <alignment wrapText="1"/>
    </xf>
    <xf numFmtId="0" fontId="67" fillId="4" borderId="0" xfId="0" applyFont="1" applyFill="1" applyAlignment="1">
      <alignment wrapText="1"/>
    </xf>
    <xf numFmtId="0" fontId="27" fillId="4" borderId="0" xfId="0" applyFont="1" applyFill="1" applyAlignment="1">
      <alignment vertical="center" wrapText="1"/>
    </xf>
    <xf numFmtId="2" fontId="39" fillId="0" borderId="0" xfId="0" applyNumberFormat="1" applyFont="1"/>
    <xf numFmtId="0" fontId="19" fillId="0" borderId="84" xfId="0" applyFont="1" applyBorder="1" applyAlignment="1">
      <alignment horizontal="center" vertical="center" wrapText="1"/>
    </xf>
    <xf numFmtId="0" fontId="19" fillId="0" borderId="26" xfId="0" applyFont="1" applyBorder="1" applyAlignment="1">
      <alignment horizontal="left" vertical="center" wrapText="1"/>
    </xf>
    <xf numFmtId="0" fontId="7" fillId="0" borderId="26" xfId="0" applyFont="1" applyBorder="1" applyAlignment="1">
      <alignment horizontal="center" vertical="center"/>
    </xf>
    <xf numFmtId="1" fontId="7" fillId="0" borderId="26" xfId="0" applyNumberFormat="1" applyFont="1" applyBorder="1" applyAlignment="1">
      <alignment horizontal="center" vertical="center"/>
    </xf>
    <xf numFmtId="0" fontId="19" fillId="0" borderId="75" xfId="0" applyFont="1" applyBorder="1" applyAlignment="1">
      <alignment horizontal="center" vertical="center" wrapText="1"/>
    </xf>
    <xf numFmtId="0" fontId="19" fillId="0" borderId="24" xfId="32" applyFont="1" applyBorder="1" applyAlignment="1">
      <alignment horizontal="center" vertical="center"/>
    </xf>
    <xf numFmtId="0" fontId="19" fillId="0" borderId="24" xfId="0" applyFont="1" applyBorder="1" applyAlignment="1">
      <alignment horizontal="left" vertical="center"/>
    </xf>
    <xf numFmtId="0" fontId="7" fillId="0" borderId="24" xfId="6" applyFont="1" applyBorder="1" applyAlignment="1">
      <alignment horizontal="center" vertical="center"/>
    </xf>
    <xf numFmtId="0" fontId="7" fillId="0" borderId="102" xfId="0" applyFont="1" applyBorder="1" applyAlignment="1">
      <alignment horizontal="center" vertical="center"/>
    </xf>
    <xf numFmtId="0" fontId="19" fillId="0" borderId="93" xfId="32" applyFont="1" applyBorder="1" applyAlignment="1">
      <alignment horizontal="center" vertical="center"/>
    </xf>
    <xf numFmtId="0" fontId="19" fillId="0" borderId="76" xfId="0" applyFont="1" applyBorder="1" applyAlignment="1">
      <alignment horizontal="left" vertical="center" wrapText="1"/>
    </xf>
    <xf numFmtId="0" fontId="7" fillId="0" borderId="76" xfId="0" applyFont="1" applyBorder="1" applyAlignment="1">
      <alignment horizontal="center" vertical="center"/>
    </xf>
    <xf numFmtId="1" fontId="7" fillId="0" borderId="76" xfId="0" applyNumberFormat="1" applyFont="1" applyBorder="1" applyAlignment="1">
      <alignment horizontal="center" vertical="center"/>
    </xf>
    <xf numFmtId="2" fontId="7" fillId="6" borderId="76" xfId="0" applyNumberFormat="1" applyFont="1" applyFill="1" applyBorder="1" applyAlignment="1">
      <alignment horizontal="center" vertical="center"/>
    </xf>
    <xf numFmtId="2" fontId="7" fillId="0" borderId="77" xfId="2" applyNumberFormat="1" applyFont="1" applyBorder="1" applyAlignment="1">
      <alignment horizontal="center" vertical="center"/>
    </xf>
    <xf numFmtId="0" fontId="7" fillId="0" borderId="85" xfId="0" applyFont="1" applyBorder="1" applyAlignment="1">
      <alignment horizontal="center"/>
    </xf>
    <xf numFmtId="2" fontId="7" fillId="0" borderId="86" xfId="2" applyNumberFormat="1" applyFont="1" applyBorder="1" applyAlignment="1">
      <alignment horizontal="center"/>
    </xf>
    <xf numFmtId="0" fontId="7" fillId="0" borderId="103" xfId="0" applyFont="1" applyBorder="1" applyAlignment="1">
      <alignment horizontal="center" vertical="center"/>
    </xf>
    <xf numFmtId="0" fontId="19" fillId="0" borderId="21" xfId="24" applyFont="1" applyBorder="1" applyAlignment="1">
      <alignment horizontal="center" vertical="center"/>
    </xf>
    <xf numFmtId="0" fontId="19" fillId="0" borderId="21" xfId="24" applyFont="1" applyBorder="1" applyAlignment="1">
      <alignment horizontal="left" vertical="center"/>
    </xf>
    <xf numFmtId="0" fontId="7" fillId="0" borderId="78" xfId="66" applyFont="1" applyBorder="1" applyAlignment="1">
      <alignment horizontal="center" vertical="center"/>
    </xf>
    <xf numFmtId="1" fontId="7" fillId="4" borderId="78" xfId="66" applyNumberFormat="1" applyFont="1" applyFill="1" applyBorder="1" applyAlignment="1">
      <alignment horizontal="center" vertical="center"/>
    </xf>
    <xf numFmtId="2" fontId="7" fillId="6" borderId="78" xfId="0" applyNumberFormat="1" applyFont="1" applyFill="1" applyBorder="1" applyAlignment="1">
      <alignment horizontal="center" vertical="center"/>
    </xf>
    <xf numFmtId="0" fontId="17" fillId="0" borderId="6" xfId="0" applyFont="1" applyBorder="1" applyAlignment="1">
      <alignment horizontal="left" vertical="center" wrapText="1"/>
    </xf>
    <xf numFmtId="0" fontId="17" fillId="0" borderId="6" xfId="0" applyFont="1" applyBorder="1" applyAlignment="1">
      <alignment horizontal="center" vertical="center" wrapText="1"/>
    </xf>
    <xf numFmtId="0" fontId="40" fillId="4" borderId="6" xfId="0" applyFont="1" applyFill="1" applyBorder="1" applyAlignment="1">
      <alignment horizontal="center" wrapText="1"/>
    </xf>
    <xf numFmtId="2" fontId="9" fillId="0" borderId="32" xfId="0" applyNumberFormat="1" applyFont="1" applyBorder="1" applyAlignment="1">
      <alignment horizontal="center" vertical="center" wrapText="1"/>
    </xf>
    <xf numFmtId="3" fontId="7" fillId="0" borderId="47" xfId="0" applyNumberFormat="1" applyFont="1" applyBorder="1" applyAlignment="1">
      <alignment horizontal="center" vertical="center" wrapText="1"/>
    </xf>
    <xf numFmtId="2" fontId="7" fillId="6" borderId="49" xfId="0" applyNumberFormat="1" applyFont="1" applyFill="1" applyBorder="1" applyAlignment="1">
      <alignment horizontal="center" vertical="center"/>
    </xf>
    <xf numFmtId="2" fontId="7" fillId="6" borderId="40" xfId="0" applyNumberFormat="1" applyFont="1" applyFill="1" applyBorder="1" applyAlignment="1">
      <alignment horizontal="center" vertical="center"/>
    </xf>
    <xf numFmtId="0" fontId="26" fillId="2" borderId="46" xfId="0" applyFont="1" applyFill="1" applyBorder="1" applyAlignment="1">
      <alignment horizontal="left" vertical="center"/>
    </xf>
    <xf numFmtId="166" fontId="7" fillId="0" borderId="0" xfId="0" applyNumberFormat="1" applyFont="1" applyAlignment="1">
      <alignment horizontal="center" vertical="center"/>
    </xf>
    <xf numFmtId="2" fontId="9" fillId="0" borderId="72" xfId="0" applyNumberFormat="1" applyFont="1" applyBorder="1" applyAlignment="1">
      <alignment horizontal="center" vertical="center" wrapText="1"/>
    </xf>
    <xf numFmtId="0" fontId="43" fillId="0" borderId="73" xfId="0" applyFont="1" applyBorder="1" applyAlignment="1">
      <alignment horizontal="center" vertical="center" wrapText="1"/>
    </xf>
    <xf numFmtId="0" fontId="42" fillId="11" borderId="51" xfId="0" applyFont="1" applyFill="1" applyBorder="1" applyAlignment="1">
      <alignment horizontal="center" vertical="center" wrapText="1"/>
    </xf>
    <xf numFmtId="0" fontId="42" fillId="11" borderId="52"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26" xfId="0" applyFont="1" applyBorder="1" applyAlignment="1">
      <alignment horizontal="center" vertical="center" wrapText="1"/>
    </xf>
    <xf numFmtId="0" fontId="7" fillId="0" borderId="6" xfId="6" applyFont="1" applyBorder="1" applyAlignment="1">
      <alignment horizontal="left" vertical="center" wrapText="1"/>
    </xf>
    <xf numFmtId="165" fontId="52" fillId="6" borderId="6" xfId="0" applyNumberFormat="1" applyFont="1" applyFill="1" applyBorder="1" applyAlignment="1">
      <alignment horizontal="center" vertical="center" wrapText="1"/>
    </xf>
    <xf numFmtId="0" fontId="25" fillId="2" borderId="1" xfId="46" applyFont="1" applyFill="1" applyBorder="1" applyAlignment="1">
      <alignment horizontal="left" vertical="center"/>
    </xf>
    <xf numFmtId="0" fontId="25" fillId="2" borderId="3" xfId="0" applyFont="1" applyFill="1" applyBorder="1"/>
    <xf numFmtId="0" fontId="19" fillId="0" borderId="6" xfId="45" applyFont="1" applyBorder="1" applyAlignment="1">
      <alignment horizontal="center" vertical="center"/>
    </xf>
    <xf numFmtId="0" fontId="7" fillId="0" borderId="6" xfId="45" applyFont="1" applyBorder="1" applyAlignment="1">
      <alignment horizontal="center" vertical="center"/>
    </xf>
    <xf numFmtId="0" fontId="7" fillId="0" borderId="6" xfId="0" applyFont="1" applyBorder="1" applyAlignment="1">
      <alignment horizontal="left" vertical="center"/>
    </xf>
    <xf numFmtId="0" fontId="7" fillId="0" borderId="0" xfId="49" applyFont="1" applyAlignment="1">
      <alignment vertical="center"/>
    </xf>
    <xf numFmtId="0" fontId="0" fillId="2" borderId="3" xfId="0" applyFill="1" applyBorder="1" applyAlignment="1">
      <alignment vertical="center"/>
    </xf>
    <xf numFmtId="0" fontId="0" fillId="2" borderId="29" xfId="0" applyFill="1" applyBorder="1" applyAlignment="1">
      <alignment vertical="center"/>
    </xf>
    <xf numFmtId="0" fontId="7" fillId="0" borderId="6" xfId="2" applyNumberFormat="1" applyFont="1" applyFill="1" applyBorder="1" applyAlignment="1">
      <alignment horizontal="center" vertical="center"/>
    </xf>
    <xf numFmtId="0" fontId="0" fillId="2" borderId="2" xfId="0" applyFill="1" applyBorder="1" applyAlignment="1">
      <alignment vertical="center"/>
    </xf>
    <xf numFmtId="0" fontId="7" fillId="4" borderId="6" xfId="68" applyFont="1" applyFill="1" applyBorder="1" applyAlignment="1">
      <alignment horizontal="center" vertical="center"/>
    </xf>
    <xf numFmtId="0" fontId="26" fillId="2" borderId="2" xfId="0" applyFont="1" applyFill="1" applyBorder="1" applyAlignment="1">
      <alignment vertical="center"/>
    </xf>
    <xf numFmtId="0" fontId="26" fillId="2" borderId="2" xfId="67" applyFont="1" applyFill="1" applyBorder="1" applyAlignment="1">
      <alignment vertical="center"/>
    </xf>
    <xf numFmtId="0" fontId="7" fillId="0" borderId="13" xfId="67" applyFont="1" applyBorder="1" applyAlignment="1">
      <alignment horizontal="center" vertical="center"/>
    </xf>
    <xf numFmtId="0" fontId="7" fillId="0" borderId="1" xfId="73" applyFont="1" applyBorder="1" applyAlignment="1">
      <alignment horizontal="center" vertical="center"/>
    </xf>
    <xf numFmtId="0" fontId="7" fillId="0" borderId="1" xfId="76" applyFont="1" applyBorder="1" applyAlignment="1">
      <alignment horizontal="center" vertical="center"/>
    </xf>
    <xf numFmtId="0" fontId="7" fillId="0" borderId="1" xfId="77" applyFont="1" applyBorder="1" applyAlignment="1">
      <alignment horizontal="center" vertical="center"/>
    </xf>
    <xf numFmtId="0" fontId="52" fillId="0" borderId="1" xfId="0" applyFont="1" applyBorder="1" applyAlignment="1">
      <alignment horizontal="center" vertical="center" wrapText="1"/>
    </xf>
    <xf numFmtId="0" fontId="52" fillId="4" borderId="1" xfId="0" applyFont="1" applyFill="1" applyBorder="1" applyAlignment="1">
      <alignment horizontal="center" vertical="center" wrapText="1"/>
    </xf>
    <xf numFmtId="0" fontId="19" fillId="0" borderId="1" xfId="25" applyFont="1" applyBorder="1" applyAlignment="1">
      <alignment horizontal="center" vertical="center"/>
    </xf>
    <xf numFmtId="1" fontId="7" fillId="0" borderId="0" xfId="0" applyNumberFormat="1" applyFont="1" applyAlignment="1">
      <alignment wrapText="1"/>
    </xf>
    <xf numFmtId="168" fontId="7" fillId="0" borderId="28" xfId="2" applyNumberFormat="1" applyFont="1" applyFill="1" applyBorder="1" applyAlignment="1">
      <alignment horizontal="center" vertical="center"/>
    </xf>
    <xf numFmtId="168" fontId="7" fillId="0" borderId="24" xfId="2" applyNumberFormat="1" applyFont="1" applyFill="1" applyBorder="1" applyAlignment="1">
      <alignment horizontal="center" vertical="center"/>
    </xf>
    <xf numFmtId="168" fontId="7" fillId="0" borderId="26" xfId="2" applyNumberFormat="1" applyFont="1" applyFill="1" applyBorder="1" applyAlignment="1">
      <alignment horizontal="center" vertical="center"/>
    </xf>
    <xf numFmtId="0" fontId="7" fillId="0" borderId="1" xfId="2" applyNumberFormat="1" applyFont="1" applyFill="1" applyBorder="1" applyAlignment="1">
      <alignment horizontal="center" vertical="center"/>
    </xf>
    <xf numFmtId="1" fontId="7" fillId="4" borderId="1" xfId="62"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1" fontId="7" fillId="0" borderId="1" xfId="66" applyNumberFormat="1" applyFont="1" applyBorder="1" applyAlignment="1">
      <alignment horizontal="center" vertical="center"/>
    </xf>
    <xf numFmtId="1" fontId="19" fillId="0" borderId="1" xfId="25" applyNumberFormat="1" applyFont="1" applyBorder="1" applyAlignment="1">
      <alignment horizontal="center" vertical="center"/>
    </xf>
    <xf numFmtId="0" fontId="38" fillId="4" borderId="0" xfId="0" applyFont="1" applyFill="1" applyAlignment="1">
      <alignment horizontal="center" vertical="center" wrapText="1"/>
    </xf>
    <xf numFmtId="0" fontId="72" fillId="4" borderId="0" xfId="0" applyFont="1" applyFill="1" applyAlignment="1">
      <alignment horizontal="center" vertical="center"/>
    </xf>
    <xf numFmtId="0" fontId="49" fillId="4" borderId="0" xfId="0" applyFont="1" applyFill="1"/>
    <xf numFmtId="0" fontId="17" fillId="2" borderId="6" xfId="0" applyFont="1" applyFill="1" applyBorder="1" applyAlignment="1">
      <alignment horizontal="center" vertical="center" wrapText="1"/>
    </xf>
    <xf numFmtId="0" fontId="78" fillId="2" borderId="6" xfId="0" applyFont="1" applyFill="1" applyBorder="1" applyAlignment="1">
      <alignment horizontal="center" vertical="center" wrapText="1"/>
    </xf>
    <xf numFmtId="0" fontId="77" fillId="2" borderId="6" xfId="0" applyFont="1" applyFill="1" applyBorder="1" applyAlignment="1">
      <alignment horizontal="center" vertical="center" wrapText="1"/>
    </xf>
    <xf numFmtId="0" fontId="9" fillId="0" borderId="0" xfId="0" applyFont="1" applyAlignment="1">
      <alignment vertical="center" wrapText="1"/>
    </xf>
    <xf numFmtId="0" fontId="7" fillId="0" borderId="0" xfId="0" applyFont="1" applyAlignment="1">
      <alignment vertical="center" wrapText="1"/>
    </xf>
    <xf numFmtId="0" fontId="14" fillId="0" borderId="0" xfId="0" applyFont="1" applyAlignment="1">
      <alignment horizontal="center" vertical="center" wrapText="1"/>
    </xf>
    <xf numFmtId="0" fontId="7" fillId="0" borderId="0" xfId="0" applyFont="1" applyAlignment="1">
      <alignment horizontal="left" vertical="center" wrapText="1"/>
    </xf>
    <xf numFmtId="0" fontId="7" fillId="0" borderId="82" xfId="0" applyFont="1" applyBorder="1" applyAlignment="1">
      <alignment horizontal="left"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Alignment="1">
      <alignment vertical="center"/>
    </xf>
    <xf numFmtId="0" fontId="0" fillId="0" borderId="0" xfId="0"/>
    <xf numFmtId="0" fontId="20" fillId="0" borderId="5" xfId="0" applyFont="1" applyBorder="1" applyAlignment="1">
      <alignment horizontal="center" vertical="center" wrapText="1"/>
    </xf>
    <xf numFmtId="0" fontId="29" fillId="4" borderId="0" xfId="0" applyFont="1" applyFill="1" applyAlignment="1">
      <alignment horizontal="center" vertical="center" wrapText="1"/>
    </xf>
    <xf numFmtId="0" fontId="8" fillId="0" borderId="1" xfId="0" applyFont="1" applyBorder="1" applyAlignment="1">
      <alignment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0" fontId="8" fillId="0" borderId="5" xfId="0" applyFont="1" applyBorder="1" applyAlignment="1">
      <alignment vertical="center" wrapText="1"/>
    </xf>
    <xf numFmtId="0" fontId="8" fillId="0" borderId="9" xfId="0" applyFont="1" applyBorder="1" applyAlignment="1">
      <alignment vertical="center" wrapText="1"/>
    </xf>
    <xf numFmtId="0" fontId="0" fillId="0" borderId="0" xfId="0" applyAlignment="1">
      <alignment wrapText="1"/>
    </xf>
    <xf numFmtId="0" fontId="9" fillId="0" borderId="0" xfId="0" applyFont="1" applyAlignment="1">
      <alignment horizontal="left" vertical="center"/>
    </xf>
    <xf numFmtId="0" fontId="0" fillId="0" borderId="0" xfId="0" applyAlignment="1">
      <alignment vertical="center"/>
    </xf>
    <xf numFmtId="0" fontId="7" fillId="0" borderId="0" xfId="0" applyFont="1"/>
    <xf numFmtId="0" fontId="25" fillId="4" borderId="0" xfId="0" applyFont="1" applyFill="1" applyAlignment="1">
      <alignment vertical="center" wrapText="1"/>
    </xf>
    <xf numFmtId="0" fontId="25" fillId="4" borderId="0" xfId="0" applyFont="1" applyFill="1"/>
    <xf numFmtId="0" fontId="24" fillId="0" borderId="15" xfId="0" applyFont="1" applyBorder="1" applyAlignment="1">
      <alignment horizontal="center" vertical="center"/>
    </xf>
    <xf numFmtId="0" fontId="0" fillId="0" borderId="101" xfId="0" applyBorder="1"/>
    <xf numFmtId="0" fontId="0" fillId="0" borderId="16" xfId="0" applyBorder="1"/>
    <xf numFmtId="0" fontId="17" fillId="4" borderId="99" xfId="0" applyFont="1" applyFill="1" applyBorder="1" applyAlignment="1">
      <alignment horizontal="center" vertical="center"/>
    </xf>
    <xf numFmtId="0" fontId="77" fillId="4" borderId="100" xfId="0" applyFont="1" applyFill="1" applyBorder="1" applyAlignment="1">
      <alignment horizontal="center" vertical="center"/>
    </xf>
    <xf numFmtId="0" fontId="17" fillId="4" borderId="94" xfId="0" applyFont="1" applyFill="1" applyBorder="1" applyAlignment="1">
      <alignment horizontal="left" vertical="center"/>
    </xf>
    <xf numFmtId="0" fontId="77" fillId="4" borderId="80" xfId="0" applyFont="1" applyFill="1" applyBorder="1" applyAlignment="1">
      <alignment horizontal="left" vertical="center"/>
    </xf>
    <xf numFmtId="0" fontId="17" fillId="4" borderId="95" xfId="0" applyFont="1" applyFill="1" applyBorder="1" applyAlignment="1">
      <alignment horizontal="left" vertical="center"/>
    </xf>
    <xf numFmtId="0" fontId="77" fillId="4" borderId="81" xfId="0" applyFont="1" applyFill="1" applyBorder="1" applyAlignment="1">
      <alignment horizontal="left" vertical="center"/>
    </xf>
    <xf numFmtId="0" fontId="0" fillId="0" borderId="0" xfId="0" applyAlignment="1">
      <alignment vertical="center" wrapText="1"/>
    </xf>
    <xf numFmtId="0" fontId="17" fillId="0" borderId="96" xfId="0" applyFont="1" applyBorder="1" applyAlignment="1">
      <alignment horizontal="center" vertical="center" wrapText="1"/>
    </xf>
    <xf numFmtId="0" fontId="17" fillId="0" borderId="97" xfId="0" applyFont="1" applyBorder="1" applyAlignment="1">
      <alignment horizontal="center" vertical="center" wrapText="1"/>
    </xf>
    <xf numFmtId="0" fontId="17" fillId="0" borderId="98" xfId="0" applyFont="1" applyBorder="1" applyAlignment="1">
      <alignment horizontal="center" vertical="center" wrapText="1"/>
    </xf>
    <xf numFmtId="0" fontId="9" fillId="0" borderId="76" xfId="0" applyFont="1" applyBorder="1" applyAlignment="1">
      <alignment horizontal="left" vertical="center" wrapText="1"/>
    </xf>
    <xf numFmtId="0" fontId="0" fillId="0" borderId="77" xfId="0" applyBorder="1" applyAlignment="1">
      <alignment horizontal="left" vertical="center" wrapText="1"/>
    </xf>
    <xf numFmtId="0" fontId="9" fillId="0" borderId="78" xfId="0" applyFont="1" applyBorder="1" applyAlignment="1">
      <alignment horizontal="left" vertical="center" wrapText="1"/>
    </xf>
    <xf numFmtId="0" fontId="9" fillId="0" borderId="79" xfId="0" applyFont="1" applyBorder="1" applyAlignment="1">
      <alignment horizontal="left" vertical="center" wrapText="1"/>
    </xf>
    <xf numFmtId="0" fontId="27" fillId="2" borderId="1" xfId="0" applyFont="1" applyFill="1" applyBorder="1" applyAlignment="1">
      <alignment horizontal="left" vertical="center"/>
    </xf>
    <xf numFmtId="0" fontId="27" fillId="2" borderId="2" xfId="0" applyFont="1" applyFill="1" applyBorder="1" applyAlignment="1">
      <alignment horizontal="left" vertical="center"/>
    </xf>
    <xf numFmtId="0" fontId="26" fillId="0" borderId="2" xfId="0" applyFont="1" applyBorder="1" applyAlignment="1">
      <alignment horizontal="left" vertical="center"/>
    </xf>
    <xf numFmtId="0" fontId="9" fillId="0" borderId="0" xfId="0" applyFont="1" applyAlignment="1">
      <alignment horizontal="center" vertical="center" wrapText="1"/>
    </xf>
    <xf numFmtId="0" fontId="33" fillId="0" borderId="0" xfId="0" applyFont="1" applyAlignment="1">
      <alignment horizontal="center" vertical="center" wrapText="1"/>
    </xf>
    <xf numFmtId="0" fontId="9" fillId="4" borderId="0" xfId="0" applyFont="1" applyFill="1" applyAlignment="1">
      <alignment horizontal="left" vertical="center" wrapText="1"/>
    </xf>
    <xf numFmtId="0" fontId="0" fillId="0" borderId="0" xfId="0" applyAlignment="1">
      <alignment horizontal="left"/>
    </xf>
    <xf numFmtId="0" fontId="20" fillId="0" borderId="0" xfId="0" applyFont="1" applyAlignment="1">
      <alignment horizontal="center" vertical="center" wrapText="1"/>
    </xf>
    <xf numFmtId="0" fontId="21" fillId="0" borderId="0" xfId="0" applyFont="1" applyAlignment="1">
      <alignment horizontal="center" wrapText="1"/>
    </xf>
    <xf numFmtId="0" fontId="81" fillId="4" borderId="0" xfId="0" applyFont="1" applyFill="1" applyAlignment="1">
      <alignment vertical="center" wrapText="1"/>
    </xf>
    <xf numFmtId="0" fontId="25" fillId="2" borderId="1" xfId="62" applyFont="1" applyFill="1" applyBorder="1" applyAlignment="1">
      <alignment vertical="center"/>
    </xf>
    <xf numFmtId="0" fontId="28" fillId="2" borderId="2" xfId="0" applyFont="1" applyFill="1" applyBorder="1" applyAlignment="1">
      <alignment vertical="center"/>
    </xf>
    <xf numFmtId="0" fontId="28" fillId="0" borderId="2" xfId="0" applyFont="1" applyBorder="1" applyAlignment="1">
      <alignment vertical="center"/>
    </xf>
    <xf numFmtId="0" fontId="25" fillId="2" borderId="1" xfId="0" applyFont="1" applyFill="1" applyBorder="1" applyAlignment="1">
      <alignment horizontal="left" vertical="center"/>
    </xf>
    <xf numFmtId="0" fontId="25" fillId="2" borderId="2" xfId="0" applyFont="1" applyFill="1" applyBorder="1" applyAlignment="1">
      <alignment horizontal="left" vertical="center"/>
    </xf>
    <xf numFmtId="0" fontId="27" fillId="4" borderId="0" xfId="0" applyFont="1" applyFill="1" applyAlignment="1">
      <alignment vertical="center" wrapText="1"/>
    </xf>
    <xf numFmtId="0" fontId="73" fillId="4" borderId="0" xfId="0" applyFont="1" applyFill="1" applyAlignment="1">
      <alignment horizontal="center" vertical="center" wrapText="1"/>
    </xf>
    <xf numFmtId="0" fontId="74" fillId="4" borderId="0" xfId="0" applyFont="1" applyFill="1" applyAlignment="1">
      <alignment horizontal="center" vertical="center" wrapText="1"/>
    </xf>
    <xf numFmtId="0" fontId="75" fillId="4" borderId="0" xfId="0" applyFont="1" applyFill="1"/>
    <xf numFmtId="0" fontId="80" fillId="4" borderId="0" xfId="0" applyFont="1" applyFill="1" applyAlignment="1">
      <alignment vertical="center" wrapText="1"/>
    </xf>
    <xf numFmtId="0" fontId="79" fillId="4" borderId="0" xfId="0" applyFont="1" applyFill="1" applyAlignment="1">
      <alignment vertical="center"/>
    </xf>
    <xf numFmtId="0" fontId="9" fillId="0" borderId="24" xfId="0" applyFont="1" applyBorder="1" applyAlignment="1">
      <alignment horizontal="left" vertical="center" wrapText="1"/>
    </xf>
    <xf numFmtId="0" fontId="9" fillId="0" borderId="86" xfId="0" applyFont="1" applyBorder="1" applyAlignment="1">
      <alignment horizontal="left" vertical="center" wrapText="1"/>
    </xf>
    <xf numFmtId="0" fontId="27" fillId="4" borderId="0" xfId="0" applyFont="1" applyFill="1"/>
    <xf numFmtId="0" fontId="21" fillId="0" borderId="5" xfId="0" applyFont="1" applyBorder="1" applyAlignment="1">
      <alignment horizontal="center" wrapText="1"/>
    </xf>
    <xf numFmtId="0" fontId="17" fillId="0" borderId="1" xfId="0" applyFont="1" applyBorder="1" applyAlignment="1">
      <alignment horizontal="center" vertical="center" wrapText="1"/>
    </xf>
    <xf numFmtId="0" fontId="77" fillId="0" borderId="2" xfId="0" applyFont="1" applyBorder="1" applyAlignment="1">
      <alignment horizontal="center" vertical="center" wrapText="1"/>
    </xf>
    <xf numFmtId="0" fontId="25" fillId="2" borderId="1" xfId="6" applyFont="1" applyFill="1" applyBorder="1" applyAlignment="1">
      <alignment vertical="center"/>
    </xf>
    <xf numFmtId="0" fontId="28" fillId="4" borderId="0" xfId="0" applyFont="1" applyFill="1" applyAlignment="1">
      <alignment vertical="center" wrapText="1"/>
    </xf>
    <xf numFmtId="0" fontId="0" fillId="4" borderId="0" xfId="0" applyFill="1" applyAlignment="1">
      <alignment vertical="center"/>
    </xf>
    <xf numFmtId="0" fontId="32" fillId="4" borderId="0" xfId="0" applyFont="1" applyFill="1" applyAlignment="1">
      <alignment vertical="center"/>
    </xf>
    <xf numFmtId="0" fontId="32" fillId="4" borderId="0" xfId="0" applyFont="1" applyFill="1" applyAlignment="1">
      <alignment wrapText="1"/>
    </xf>
    <xf numFmtId="0" fontId="30" fillId="4" borderId="0" xfId="0" applyFont="1" applyFill="1" applyAlignment="1">
      <alignment horizontal="center" vertical="center" wrapText="1"/>
    </xf>
    <xf numFmtId="0" fontId="31" fillId="4" borderId="0" xfId="0" applyFont="1" applyFill="1"/>
    <xf numFmtId="0" fontId="8" fillId="0" borderId="6" xfId="0" applyFont="1" applyBorder="1" applyAlignment="1">
      <alignment vertical="center" wrapText="1"/>
    </xf>
    <xf numFmtId="0" fontId="7" fillId="0" borderId="6" xfId="0" applyFont="1" applyBorder="1" applyAlignment="1">
      <alignment vertical="center" wrapText="1"/>
    </xf>
    <xf numFmtId="0" fontId="0" fillId="0" borderId="2" xfId="0" applyBorder="1" applyAlignment="1">
      <alignment vertical="center" wrapText="1"/>
    </xf>
    <xf numFmtId="0" fontId="32" fillId="4" borderId="0" xfId="0" applyFont="1" applyFill="1"/>
    <xf numFmtId="0" fontId="25" fillId="4" borderId="0" xfId="0" applyFont="1" applyFill="1" applyAlignment="1">
      <alignment wrapText="1"/>
    </xf>
    <xf numFmtId="0" fontId="7" fillId="0" borderId="1" xfId="0" applyFont="1" applyBorder="1" applyAlignment="1">
      <alignment vertical="center" wrapText="1"/>
    </xf>
    <xf numFmtId="0" fontId="25" fillId="0" borderId="0" xfId="0" applyFont="1" applyAlignment="1">
      <alignment vertical="center" wrapText="1"/>
    </xf>
    <xf numFmtId="0" fontId="7" fillId="4" borderId="0" xfId="0" applyFont="1" applyFill="1"/>
    <xf numFmtId="0" fontId="28" fillId="0" borderId="2" xfId="0" applyFont="1" applyBorder="1" applyAlignment="1">
      <alignment horizontal="left" vertical="center"/>
    </xf>
    <xf numFmtId="0" fontId="76" fillId="4" borderId="0" xfId="0" applyFont="1" applyFill="1" applyAlignment="1">
      <alignment horizontal="center" vertical="center"/>
    </xf>
    <xf numFmtId="0" fontId="20" fillId="0" borderId="5" xfId="0" applyFont="1" applyBorder="1" applyAlignment="1">
      <alignment horizontal="center" vertical="center"/>
    </xf>
    <xf numFmtId="0" fontId="38" fillId="4" borderId="0" xfId="0" applyFont="1" applyFill="1" applyAlignment="1">
      <alignment horizontal="center" vertical="center"/>
    </xf>
    <xf numFmtId="0" fontId="49" fillId="4" borderId="0" xfId="0" applyFont="1" applyFill="1" applyAlignment="1">
      <alignment horizontal="center" vertical="center"/>
    </xf>
    <xf numFmtId="0" fontId="25" fillId="4" borderId="0" xfId="0" applyFont="1" applyFill="1" applyAlignment="1">
      <alignment horizontal="left" vertical="center"/>
    </xf>
    <xf numFmtId="0" fontId="32" fillId="4" borderId="0" xfId="0" applyFont="1" applyFill="1" applyAlignment="1">
      <alignment horizontal="left" vertical="center"/>
    </xf>
    <xf numFmtId="0" fontId="25" fillId="4" borderId="0" xfId="0" applyFont="1" applyFill="1" applyAlignment="1">
      <alignment horizontal="left" vertical="center" wrapText="1"/>
    </xf>
    <xf numFmtId="0" fontId="0" fillId="0" borderId="0" xfId="0" applyAlignment="1">
      <alignment horizontal="left" vertical="center" wrapText="1"/>
    </xf>
    <xf numFmtId="0" fontId="17" fillId="0" borderId="7" xfId="0" applyFont="1" applyBorder="1" applyAlignment="1">
      <alignment horizontal="center" vertical="center" wrapText="1"/>
    </xf>
    <xf numFmtId="0" fontId="82" fillId="0" borderId="8" xfId="0" applyFont="1" applyBorder="1" applyAlignment="1">
      <alignment horizontal="center" vertical="center" wrapText="1"/>
    </xf>
    <xf numFmtId="0" fontId="7" fillId="0" borderId="8" xfId="0" applyFont="1" applyBorder="1" applyAlignment="1">
      <alignment vertical="center" wrapText="1"/>
    </xf>
    <xf numFmtId="0" fontId="9" fillId="0" borderId="35" xfId="0" applyFont="1" applyBorder="1" applyAlignment="1">
      <alignment horizontal="left" vertical="center"/>
    </xf>
    <xf numFmtId="0" fontId="9" fillId="0" borderId="36" xfId="0" applyFont="1" applyBorder="1" applyAlignment="1">
      <alignment horizontal="left" vertical="center"/>
    </xf>
    <xf numFmtId="0" fontId="48" fillId="0" borderId="0" xfId="0" applyFont="1" applyAlignment="1">
      <alignment horizontal="center" vertical="center"/>
    </xf>
    <xf numFmtId="0" fontId="0" fillId="0" borderId="0" xfId="0" applyAlignment="1">
      <alignment horizontal="center" vertical="center"/>
    </xf>
    <xf numFmtId="0" fontId="9" fillId="0" borderId="30" xfId="0" applyFon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51" fillId="12" borderId="61" xfId="0" applyFont="1" applyFill="1" applyBorder="1" applyAlignment="1">
      <alignment horizontal="center" vertical="center" wrapText="1"/>
    </xf>
    <xf numFmtId="0" fontId="49" fillId="12" borderId="61" xfId="0" applyFont="1" applyFill="1" applyBorder="1" applyAlignment="1">
      <alignment horizontal="center" vertical="center" wrapText="1"/>
    </xf>
    <xf numFmtId="0" fontId="49" fillId="12" borderId="62" xfId="0" applyFont="1" applyFill="1" applyBorder="1" applyAlignment="1">
      <alignment horizontal="center" vertical="center" wrapText="1"/>
    </xf>
    <xf numFmtId="0" fontId="8" fillId="0" borderId="30" xfId="0" applyFont="1" applyBorder="1" applyAlignment="1">
      <alignment vertical="center" wrapText="1"/>
    </xf>
    <xf numFmtId="0" fontId="7" fillId="0" borderId="31" xfId="0" applyFont="1" applyBorder="1" applyAlignment="1">
      <alignment vertical="center" wrapText="1"/>
    </xf>
    <xf numFmtId="0" fontId="8" fillId="0" borderId="14" xfId="0" applyFont="1" applyBorder="1" applyAlignment="1">
      <alignment vertical="center" wrapText="1"/>
    </xf>
    <xf numFmtId="0" fontId="0" fillId="0" borderId="14" xfId="0" applyBorder="1" applyAlignment="1">
      <alignment vertical="center" wrapText="1"/>
    </xf>
    <xf numFmtId="0" fontId="51" fillId="12" borderId="59" xfId="0" applyFont="1" applyFill="1" applyBorder="1" applyAlignment="1">
      <alignment horizontal="center" vertical="center" wrapText="1"/>
    </xf>
    <xf numFmtId="0" fontId="49" fillId="12" borderId="59" xfId="0" applyFont="1" applyFill="1" applyBorder="1" applyAlignment="1">
      <alignment horizontal="center" vertical="center" wrapText="1"/>
    </xf>
    <xf numFmtId="0" fontId="49" fillId="12" borderId="60" xfId="0" applyFont="1" applyFill="1" applyBorder="1" applyAlignment="1">
      <alignment horizontal="center" vertical="center" wrapText="1"/>
    </xf>
    <xf numFmtId="0" fontId="7" fillId="0" borderId="68" xfId="0" applyFont="1" applyBorder="1" applyAlignment="1">
      <alignment horizontal="center" vertical="center" wrapText="1"/>
    </xf>
    <xf numFmtId="0" fontId="7" fillId="0" borderId="75" xfId="0" applyFont="1" applyBorder="1" applyAlignment="1">
      <alignment horizontal="center" vertical="center" wrapText="1"/>
    </xf>
    <xf numFmtId="0" fontId="51" fillId="12" borderId="40" xfId="0" applyFont="1" applyFill="1" applyBorder="1" applyAlignment="1">
      <alignment horizontal="center" vertical="center" wrapText="1"/>
    </xf>
    <xf numFmtId="0" fontId="49" fillId="12" borderId="40" xfId="0" applyFont="1" applyFill="1" applyBorder="1" applyAlignment="1">
      <alignment horizontal="center" vertical="center" wrapText="1"/>
    </xf>
    <xf numFmtId="0" fontId="49" fillId="12" borderId="41"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26" xfId="0" applyFont="1" applyBorder="1" applyAlignment="1">
      <alignment horizontal="center" vertical="center" wrapText="1"/>
    </xf>
    <xf numFmtId="0" fontId="44" fillId="4" borderId="74" xfId="0" applyFont="1" applyFill="1"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48" fillId="4" borderId="0" xfId="0" applyFont="1" applyFill="1" applyAlignment="1">
      <alignment horizontal="center" vertical="center"/>
    </xf>
    <xf numFmtId="0" fontId="0" fillId="4" borderId="0" xfId="0" applyFill="1" applyAlignment="1">
      <alignment horizontal="center" vertical="center"/>
    </xf>
    <xf numFmtId="0" fontId="9" fillId="4" borderId="30" xfId="0" applyFont="1" applyFill="1" applyBorder="1" applyAlignment="1">
      <alignment horizontal="center" vertical="center"/>
    </xf>
    <xf numFmtId="0" fontId="0" fillId="4" borderId="31" xfId="0" applyFill="1" applyBorder="1" applyAlignment="1">
      <alignment horizontal="center" vertical="center"/>
    </xf>
    <xf numFmtId="0" fontId="0" fillId="4" borderId="32" xfId="0" applyFill="1" applyBorder="1" applyAlignment="1">
      <alignment horizontal="center" vertical="center"/>
    </xf>
    <xf numFmtId="0" fontId="17" fillId="0" borderId="30"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1" xfId="0" applyFont="1" applyBorder="1" applyAlignment="1">
      <alignment horizontal="center" vertical="center" wrapText="1"/>
    </xf>
    <xf numFmtId="0" fontId="82" fillId="0" borderId="32" xfId="0" applyFont="1" applyBorder="1" applyAlignment="1">
      <alignment horizontal="center" vertical="center" wrapText="1"/>
    </xf>
    <xf numFmtId="0" fontId="17" fillId="0" borderId="14" xfId="0" applyFont="1" applyBorder="1" applyAlignment="1">
      <alignment horizontal="center" vertical="center" wrapText="1"/>
    </xf>
    <xf numFmtId="0" fontId="82" fillId="0" borderId="34"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69"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37" xfId="0" applyFont="1" applyBorder="1" applyAlignment="1">
      <alignment horizontal="center" vertical="center" wrapText="1"/>
    </xf>
    <xf numFmtId="0" fontId="7" fillId="4" borderId="0" xfId="0" applyFont="1" applyFill="1" applyAlignment="1">
      <alignment horizontal="left" vertical="center" wrapText="1"/>
    </xf>
    <xf numFmtId="0" fontId="82" fillId="0" borderId="35" xfId="0" applyFont="1" applyBorder="1" applyAlignment="1">
      <alignment horizontal="center" vertical="center" wrapText="1"/>
    </xf>
    <xf numFmtId="0" fontId="17" fillId="0" borderId="51" xfId="0" applyFont="1" applyBorder="1" applyAlignment="1">
      <alignment horizontal="center" vertical="center" wrapText="1"/>
    </xf>
    <xf numFmtId="0" fontId="82" fillId="0" borderId="104" xfId="0" applyFont="1" applyBorder="1" applyAlignment="1">
      <alignment horizontal="center" vertical="center" wrapText="1"/>
    </xf>
    <xf numFmtId="0" fontId="82" fillId="0" borderId="37"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51" fillId="12" borderId="13" xfId="0" applyFont="1" applyFill="1" applyBorder="1" applyAlignment="1">
      <alignment horizontal="center" vertical="center" wrapText="1"/>
    </xf>
    <xf numFmtId="0" fontId="49" fillId="12" borderId="25" xfId="0" applyFont="1" applyFill="1" applyBorder="1" applyAlignment="1">
      <alignment horizontal="center" vertical="center" wrapText="1"/>
    </xf>
    <xf numFmtId="0" fontId="49" fillId="12" borderId="29" xfId="0" applyFont="1" applyFill="1" applyBorder="1" applyAlignment="1">
      <alignment horizontal="center" vertical="center" wrapText="1"/>
    </xf>
    <xf numFmtId="0" fontId="48" fillId="4" borderId="5" xfId="0" applyFont="1" applyFill="1" applyBorder="1" applyAlignment="1">
      <alignment horizontal="center" vertical="center"/>
    </xf>
    <xf numFmtId="0" fontId="0" fillId="4" borderId="5" xfId="0" applyFill="1" applyBorder="1" applyAlignment="1">
      <alignment horizontal="center" vertical="center"/>
    </xf>
    <xf numFmtId="0" fontId="25" fillId="2" borderId="45" xfId="6" applyFont="1" applyFill="1" applyBorder="1" applyAlignment="1">
      <alignment vertical="center"/>
    </xf>
    <xf numFmtId="0" fontId="28" fillId="2" borderId="46" xfId="0" applyFont="1" applyFill="1" applyBorder="1" applyAlignment="1">
      <alignment vertical="center"/>
    </xf>
    <xf numFmtId="0" fontId="9"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7" fillId="2" borderId="45" xfId="0" applyFont="1" applyFill="1" applyBorder="1" applyAlignment="1">
      <alignment horizontal="left" vertical="center"/>
    </xf>
    <xf numFmtId="0" fontId="27" fillId="2" borderId="46" xfId="0" applyFont="1" applyFill="1" applyBorder="1" applyAlignment="1">
      <alignment horizontal="left" vertical="center"/>
    </xf>
    <xf numFmtId="0" fontId="26" fillId="0" borderId="46" xfId="0" applyFont="1" applyBorder="1" applyAlignment="1">
      <alignment horizontal="left" vertical="center"/>
    </xf>
    <xf numFmtId="0" fontId="27" fillId="2" borderId="45" xfId="23" applyFont="1" applyFill="1" applyBorder="1" applyAlignment="1">
      <alignment horizontal="left" vertical="center"/>
    </xf>
    <xf numFmtId="0" fontId="27" fillId="2" borderId="46" xfId="23" applyFont="1" applyFill="1" applyBorder="1" applyAlignment="1">
      <alignment horizontal="left" vertical="center"/>
    </xf>
    <xf numFmtId="0" fontId="9" fillId="0" borderId="19" xfId="0" applyFont="1" applyBorder="1" applyAlignment="1">
      <alignment horizontal="center" vertical="center" wrapText="1"/>
    </xf>
    <xf numFmtId="0" fontId="0" fillId="0" borderId="20" xfId="0" applyBorder="1" applyAlignment="1">
      <alignment horizontal="center" vertical="center" wrapText="1"/>
    </xf>
    <xf numFmtId="0" fontId="9" fillId="0" borderId="42" xfId="0" applyFont="1" applyBorder="1" applyAlignment="1">
      <alignment horizontal="center" vertical="center" wrapText="1"/>
    </xf>
    <xf numFmtId="0" fontId="0" fillId="0" borderId="23" xfId="0" applyBorder="1" applyAlignment="1">
      <alignment horizontal="center" vertical="center" wrapText="1"/>
    </xf>
    <xf numFmtId="0" fontId="9" fillId="0" borderId="21" xfId="0" applyFont="1" applyBorder="1" applyAlignment="1">
      <alignment horizontal="center" vertical="center" wrapText="1"/>
    </xf>
    <xf numFmtId="0" fontId="0" fillId="0" borderId="22" xfId="0" applyBorder="1" applyAlignment="1">
      <alignment horizontal="center" vertical="center" wrapText="1"/>
    </xf>
    <xf numFmtId="0" fontId="9" fillId="0" borderId="31" xfId="0" applyFont="1" applyBorder="1" applyAlignment="1">
      <alignment horizontal="center" vertical="center" wrapText="1"/>
    </xf>
    <xf numFmtId="0" fontId="0" fillId="0" borderId="32" xfId="0" applyBorder="1" applyAlignment="1">
      <alignment horizontal="center" vertical="center" wrapText="1"/>
    </xf>
    <xf numFmtId="0" fontId="9" fillId="0" borderId="14" xfId="0" applyFont="1" applyBorder="1" applyAlignment="1">
      <alignment horizontal="center" vertical="center" wrapText="1"/>
    </xf>
    <xf numFmtId="0" fontId="0" fillId="0" borderId="34" xfId="0" applyBorder="1" applyAlignment="1">
      <alignment horizontal="center" vertical="center" wrapText="1"/>
    </xf>
    <xf numFmtId="0" fontId="9" fillId="0" borderId="34"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5" xfId="0" applyFont="1" applyBorder="1" applyAlignment="1">
      <alignment horizontal="center" vertical="center" wrapText="1"/>
    </xf>
    <xf numFmtId="0" fontId="44" fillId="4"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9" fillId="4" borderId="1" xfId="0" applyFont="1" applyFill="1" applyBorder="1" applyAlignment="1">
      <alignment horizontal="center"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55" fillId="4" borderId="0" xfId="0" applyFont="1" applyFill="1" applyAlignment="1">
      <alignment horizontal="left" vertical="center" wrapText="1"/>
    </xf>
    <xf numFmtId="0" fontId="0" fillId="4" borderId="67" xfId="0" applyFill="1" applyBorder="1" applyProtection="1">
      <protection locked="0"/>
    </xf>
    <xf numFmtId="0" fontId="36" fillId="4" borderId="0" xfId="1" applyFont="1" applyFill="1" applyAlignment="1" applyProtection="1">
      <alignment horizontal="left" vertical="center"/>
      <protection locked="0"/>
    </xf>
    <xf numFmtId="0" fontId="24" fillId="0" borderId="14" xfId="0" applyFont="1" applyBorder="1" applyAlignment="1">
      <alignment horizontal="left" vertical="center"/>
    </xf>
    <xf numFmtId="0" fontId="19" fillId="4" borderId="14" xfId="0" applyFont="1" applyFill="1" applyBorder="1" applyAlignment="1">
      <alignment vertical="center"/>
    </xf>
    <xf numFmtId="0" fontId="52" fillId="0" borderId="31" xfId="0" applyFont="1" applyBorder="1" applyAlignment="1">
      <alignment horizontal="center" vertical="center" wrapText="1"/>
    </xf>
    <xf numFmtId="0" fontId="52" fillId="0" borderId="36" xfId="0" applyFont="1" applyBorder="1" applyAlignment="1">
      <alignment horizontal="center" vertical="center" wrapText="1"/>
    </xf>
    <xf numFmtId="0" fontId="55" fillId="4" borderId="31" xfId="0" applyFont="1" applyFill="1" applyBorder="1" applyAlignment="1">
      <alignment horizontal="center" vertical="center" wrapText="1"/>
    </xf>
    <xf numFmtId="0" fontId="0" fillId="4" borderId="32" xfId="0" applyFill="1" applyBorder="1" applyAlignment="1">
      <alignment horizontal="center" vertical="center" wrapText="1"/>
    </xf>
    <xf numFmtId="0" fontId="56" fillId="4" borderId="68" xfId="0" applyFont="1" applyFill="1" applyBorder="1" applyAlignment="1">
      <alignment horizontal="center" vertical="center" wrapText="1"/>
    </xf>
    <xf numFmtId="0" fontId="52" fillId="0" borderId="55" xfId="0" applyFont="1" applyBorder="1" applyAlignment="1">
      <alignment horizontal="center" vertical="center" wrapText="1"/>
    </xf>
    <xf numFmtId="0" fontId="52" fillId="0" borderId="56" xfId="0" applyFont="1" applyBorder="1" applyAlignment="1">
      <alignment horizontal="center" vertical="center" wrapText="1"/>
    </xf>
    <xf numFmtId="0" fontId="56" fillId="4" borderId="0" xfId="0" applyFont="1" applyFill="1" applyAlignment="1">
      <alignment horizontal="center" vertical="center" wrapText="1"/>
    </xf>
    <xf numFmtId="0" fontId="55" fillId="4" borderId="36" xfId="0" applyFont="1" applyFill="1" applyBorder="1" applyAlignment="1">
      <alignment horizontal="center" vertical="center" wrapText="1"/>
    </xf>
    <xf numFmtId="0" fontId="0" fillId="4" borderId="37" xfId="0" applyFill="1" applyBorder="1" applyAlignment="1">
      <alignment horizontal="center" vertical="center" wrapText="1"/>
    </xf>
    <xf numFmtId="0" fontId="20" fillId="4" borderId="0" xfId="0" applyFont="1" applyFill="1" applyAlignment="1">
      <alignment horizontal="center" vertical="center" wrapText="1"/>
    </xf>
    <xf numFmtId="0" fontId="21" fillId="4" borderId="0" xfId="0" applyFont="1" applyFill="1" applyAlignment="1">
      <alignment horizontal="center" wrapText="1"/>
    </xf>
    <xf numFmtId="0" fontId="7" fillId="4" borderId="0" xfId="0" applyFont="1" applyFill="1" applyAlignment="1">
      <alignment horizontal="left" vertical="center"/>
    </xf>
    <xf numFmtId="0" fontId="9" fillId="4" borderId="0" xfId="0" applyFont="1" applyFill="1" applyAlignment="1">
      <alignment vertical="center"/>
    </xf>
    <xf numFmtId="0" fontId="55" fillId="4" borderId="0" xfId="0" applyFont="1" applyFill="1" applyAlignment="1" applyProtection="1">
      <alignment vertical="center"/>
      <protection locked="0"/>
    </xf>
    <xf numFmtId="0" fontId="0" fillId="4" borderId="0" xfId="0" applyFill="1" applyProtection="1">
      <protection locked="0"/>
    </xf>
    <xf numFmtId="0" fontId="0" fillId="4" borderId="66" xfId="0" applyFill="1" applyBorder="1" applyProtection="1">
      <protection locked="0"/>
    </xf>
    <xf numFmtId="0" fontId="9" fillId="4" borderId="0" xfId="0" applyFont="1" applyFill="1" applyAlignment="1">
      <alignment vertical="center" wrapText="1"/>
    </xf>
    <xf numFmtId="0" fontId="19" fillId="4" borderId="14" xfId="0" applyFont="1" applyFill="1" applyBorder="1" applyAlignment="1">
      <alignment horizontal="left" vertical="center"/>
    </xf>
    <xf numFmtId="0" fontId="24" fillId="0" borderId="31" xfId="24" applyFont="1" applyBorder="1" applyAlignment="1">
      <alignment horizontal="left" vertical="center"/>
    </xf>
    <xf numFmtId="0" fontId="24" fillId="0" borderId="14" xfId="24" applyFont="1" applyBorder="1" applyAlignment="1">
      <alignment horizontal="left" vertical="center" wrapText="1"/>
    </xf>
    <xf numFmtId="0" fontId="7" fillId="4" borderId="0" xfId="0" applyFont="1" applyFill="1" applyAlignment="1">
      <alignment vertical="center" wrapText="1"/>
    </xf>
    <xf numFmtId="0" fontId="0" fillId="4" borderId="0" xfId="0" applyFill="1" applyAlignment="1">
      <alignment vertical="center" wrapText="1"/>
    </xf>
    <xf numFmtId="0" fontId="0" fillId="4" borderId="0" xfId="0" applyFill="1"/>
    <xf numFmtId="0" fontId="9" fillId="4" borderId="0" xfId="0" applyFont="1" applyFill="1" applyAlignment="1">
      <alignment horizontal="left" vertical="center"/>
    </xf>
    <xf numFmtId="0" fontId="9" fillId="4" borderId="0" xfId="0" applyFont="1" applyFill="1" applyAlignment="1" applyProtection="1">
      <alignment horizontal="left" vertical="center"/>
      <protection locked="0"/>
    </xf>
    <xf numFmtId="0" fontId="19" fillId="4" borderId="40" xfId="0" applyFont="1" applyFill="1" applyBorder="1" applyAlignment="1">
      <alignment horizontal="center" vertical="center"/>
    </xf>
    <xf numFmtId="0" fontId="19" fillId="4" borderId="49" xfId="0" applyFont="1" applyFill="1" applyBorder="1" applyAlignment="1">
      <alignment horizontal="center" vertical="center"/>
    </xf>
    <xf numFmtId="0" fontId="24" fillId="0" borderId="36" xfId="24" applyFont="1" applyBorder="1" applyAlignment="1">
      <alignment horizontal="left" vertical="center"/>
    </xf>
    <xf numFmtId="0" fontId="8" fillId="0" borderId="30" xfId="0" applyFont="1" applyBorder="1" applyAlignment="1">
      <alignment horizontal="left" vertical="center" wrapText="1" indent="7"/>
    </xf>
    <xf numFmtId="0" fontId="8" fillId="0" borderId="31" xfId="0" applyFont="1" applyBorder="1" applyAlignment="1">
      <alignment horizontal="left" vertical="center" wrapText="1" indent="7"/>
    </xf>
    <xf numFmtId="0" fontId="8" fillId="0" borderId="51" xfId="0" applyFont="1" applyBorder="1" applyAlignment="1">
      <alignment horizontal="left" vertical="center" wrapText="1" indent="7"/>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9" fillId="0" borderId="35" xfId="0" applyFont="1" applyBorder="1" applyAlignment="1">
      <alignment horizontal="left" vertical="center" indent="7"/>
    </xf>
    <xf numFmtId="0" fontId="9" fillId="0" borderId="36" xfId="0" applyFont="1" applyBorder="1" applyAlignment="1">
      <alignment horizontal="left" vertical="center" indent="7"/>
    </xf>
    <xf numFmtId="0" fontId="9" fillId="0" borderId="52" xfId="0" applyFont="1" applyBorder="1" applyAlignment="1">
      <alignment horizontal="left" vertical="center" indent="7"/>
    </xf>
    <xf numFmtId="0" fontId="9" fillId="0" borderId="0" xfId="0" applyFont="1" applyAlignment="1">
      <alignment horizontal="left" vertical="center" wrapText="1"/>
    </xf>
    <xf numFmtId="0" fontId="12" fillId="0" borderId="0" xfId="1" applyFont="1" applyAlignment="1">
      <alignment horizontal="left" vertical="center"/>
    </xf>
    <xf numFmtId="0" fontId="7" fillId="0" borderId="0" xfId="0" applyFont="1" applyAlignment="1">
      <alignment horizontal="left" vertical="center"/>
    </xf>
    <xf numFmtId="0" fontId="24" fillId="0" borderId="0" xfId="1" applyFont="1" applyAlignment="1">
      <alignment vertical="center"/>
    </xf>
    <xf numFmtId="0" fontId="66" fillId="0" borderId="0" xfId="0" applyFont="1"/>
  </cellXfs>
  <cellStyles count="80">
    <cellStyle name="Currency" xfId="2" builtinId="4"/>
    <cellStyle name="Explanatory Text" xfId="31" builtinId="53"/>
    <cellStyle name="Hyperlink" xfId="1" builtinId="8"/>
    <cellStyle name="Normal" xfId="0" builtinId="0"/>
    <cellStyle name="Normal 11" xfId="13" xr:uid="{00000000-0005-0000-0000-000004000000}"/>
    <cellStyle name="Normal 11 2" xfId="50" xr:uid="{E1C1998F-4F8B-40EA-BEBB-D572943989E2}"/>
    <cellStyle name="Normal 11 2 2" xfId="76" xr:uid="{6E1B54A8-80AB-4B1D-AD11-DE6515019E1F}"/>
    <cellStyle name="Normal 11 3" xfId="73" xr:uid="{03798898-3799-40EC-8B11-1B6911CA8422}"/>
    <cellStyle name="Normal 11 4" xfId="63" xr:uid="{2FE055AF-41B1-46F3-B637-9F7211B2A9E5}"/>
    <cellStyle name="Normal 13" xfId="15" xr:uid="{00000000-0005-0000-0000-000005000000}"/>
    <cellStyle name="Normal 13 2" xfId="33" xr:uid="{A3BE00FF-9131-425A-870E-FBE74DE6DE6D}"/>
    <cellStyle name="Normal 13 2 2" xfId="59" xr:uid="{9E37D85B-E6AF-49C1-B4BA-4D9F6883AD35}"/>
    <cellStyle name="Normal 13 2 3" xfId="66" xr:uid="{7C3B1D99-E0FB-482C-A5E5-944547454584}"/>
    <cellStyle name="Normal 13 3" xfId="51" xr:uid="{82E371FA-2892-4BF0-9C22-4BFDF19064B9}"/>
    <cellStyle name="Normal 13 4" xfId="74" xr:uid="{67A984FC-9719-4262-AE08-0036AF74BD23}"/>
    <cellStyle name="Normal 14" xfId="17" xr:uid="{00000000-0005-0000-0000-000006000000}"/>
    <cellStyle name="Normal 14 2" xfId="52" xr:uid="{C53FDD9D-8E2D-479B-BCD3-BC995D2C20A2}"/>
    <cellStyle name="Normal 15" xfId="18" xr:uid="{00000000-0005-0000-0000-000007000000}"/>
    <cellStyle name="Normal 15 2" xfId="53" xr:uid="{3B572B3E-831B-448A-BC49-93CFBAFF7C6B}"/>
    <cellStyle name="Normal 16" xfId="19" xr:uid="{00000000-0005-0000-0000-000008000000}"/>
    <cellStyle name="Normal 16 2" xfId="54" xr:uid="{F74EB51D-1614-4A4A-ADC5-B4F50F532158}"/>
    <cellStyle name="Normal 16 2 2" xfId="77" xr:uid="{EB787ADA-FC98-47ED-BF9F-43C6FB876641}"/>
    <cellStyle name="Normal 17" xfId="22" xr:uid="{00000000-0005-0000-0000-000009000000}"/>
    <cellStyle name="Normal 17 2" xfId="55" xr:uid="{526CC1AC-8C1D-4D00-967A-47C6E6F6554D}"/>
    <cellStyle name="Normal 17 3" xfId="75" xr:uid="{08B6BA86-7726-4CBA-8F7D-B383838EB12D}"/>
    <cellStyle name="Normal 18" xfId="24" xr:uid="{00000000-0005-0000-0000-00000A000000}"/>
    <cellStyle name="Normal 18 2" xfId="34" xr:uid="{895FDB0A-66C6-4D98-9E2E-4F59EB238748}"/>
    <cellStyle name="Normal 18 2 2" xfId="60" xr:uid="{9D6FA3F7-4465-4D24-B67E-4B56521703BE}"/>
    <cellStyle name="Normal 18 2 3" xfId="65" xr:uid="{EFA19504-5049-4223-8E84-94493332AE3B}"/>
    <cellStyle name="Normal 18 3" xfId="43" xr:uid="{BA224D26-F9CE-402E-99CC-467065BC3A58}"/>
    <cellStyle name="Normal 18 4" xfId="64" xr:uid="{A573116F-B38E-4BCC-A38F-AF6F7F589003}"/>
    <cellStyle name="Normal 18 5" xfId="78" xr:uid="{4496ACBF-2402-416D-AF34-EAF5B1180DE5}"/>
    <cellStyle name="Normal 19" xfId="23" xr:uid="{00000000-0005-0000-0000-00000B000000}"/>
    <cellStyle name="Normal 19 2" xfId="56" xr:uid="{D51F384C-3935-47B3-8DA9-DDD8171E38CD}"/>
    <cellStyle name="Normal 2" xfId="3" xr:uid="{00000000-0005-0000-0000-00000C000000}"/>
    <cellStyle name="Normal 2 2" xfId="45" xr:uid="{AAC4C6C9-A0A7-43BF-A99C-ABFEAEAFFC82}"/>
    <cellStyle name="Normal 2 2 2" xfId="70" xr:uid="{7805BA6F-E939-485A-93AA-DD294D8D656E}"/>
    <cellStyle name="Normal 20" xfId="26" xr:uid="{00000000-0005-0000-0000-00000D000000}"/>
    <cellStyle name="Normal 20 2" xfId="57" xr:uid="{C36C3982-AF9F-46B7-B0E0-B41884104A51}"/>
    <cellStyle name="Normal 20 3" xfId="72" xr:uid="{4206A227-1EBE-41A0-9C04-FF3B9490468E}"/>
    <cellStyle name="Normal 21" xfId="30" xr:uid="{00000000-0005-0000-0000-00000E000000}"/>
    <cellStyle name="Normal 21 2" xfId="58" xr:uid="{BC52F183-D2AD-4121-A044-82AA342691AD}"/>
    <cellStyle name="Normal 3" xfId="44" xr:uid="{B48859B2-02F5-455A-8E04-1FC8B04163E5}"/>
    <cellStyle name="Normal 6" xfId="5" xr:uid="{00000000-0005-0000-0000-00000F000000}"/>
    <cellStyle name="Normal 6 2" xfId="46" xr:uid="{9A70D975-6664-4993-8FC3-4D84490EF229}"/>
    <cellStyle name="Normal 6 2 2" xfId="69" xr:uid="{C35BF93F-8AA9-4F2B-804C-B0EACD810C64}"/>
    <cellStyle name="Normal 7" xfId="8" xr:uid="{00000000-0005-0000-0000-000010000000}"/>
    <cellStyle name="Normal 7 2" xfId="48" xr:uid="{43CDE4C9-A075-46EE-A8D3-4174D62B38AD}"/>
    <cellStyle name="Normal 7 2 2" xfId="71" xr:uid="{7AFF3295-3333-4ADA-984F-9BF15C330D34}"/>
    <cellStyle name="Normal 8" xfId="6" xr:uid="{00000000-0005-0000-0000-000011000000}"/>
    <cellStyle name="Normal 8 2" xfId="35" xr:uid="{4DFB825E-8840-428A-96AD-1C2C7B1B0A3A}"/>
    <cellStyle name="Normal 8 2 2" xfId="61" xr:uid="{F09E2655-8A88-4199-8781-382C605B6249}"/>
    <cellStyle name="Normal 8 3" xfId="47" xr:uid="{5CFF719B-D987-4D24-AE94-D215F00BB249}"/>
    <cellStyle name="Normal 8 4" xfId="62" xr:uid="{C2D68546-FD39-46FA-8348-A5FEA09C0493}"/>
    <cellStyle name="Normal 8 5" xfId="67" xr:uid="{46C0AB53-AC2D-4E45-9019-BAD4B01443FF}"/>
    <cellStyle name="Normal 9" xfId="10" xr:uid="{00000000-0005-0000-0000-000012000000}"/>
    <cellStyle name="Normal 9 2" xfId="49" xr:uid="{66B93568-8718-4252-BB2A-5D248E897902}"/>
    <cellStyle name="Normal 9 2 2" xfId="68" xr:uid="{C590B267-082D-44C8-B623-ED29546CE253}"/>
    <cellStyle name="Standaard 10 2" xfId="4" xr:uid="{00000000-0005-0000-0000-000013000000}"/>
    <cellStyle name="Standaard 16 2" xfId="12" xr:uid="{00000000-0005-0000-0000-000014000000}"/>
    <cellStyle name="Standaard 17 2" xfId="20" xr:uid="{00000000-0005-0000-0000-000015000000}"/>
    <cellStyle name="Standaard 18 2" xfId="21" xr:uid="{00000000-0005-0000-0000-000016000000}"/>
    <cellStyle name="Standaard 19 2" xfId="9" xr:uid="{00000000-0005-0000-0000-000017000000}"/>
    <cellStyle name="Standaard 20 2" xfId="11" xr:uid="{00000000-0005-0000-0000-000018000000}"/>
    <cellStyle name="Standaard 22 2" xfId="14" xr:uid="{00000000-0005-0000-0000-000019000000}"/>
    <cellStyle name="Standaard 23 2" xfId="16" xr:uid="{00000000-0005-0000-0000-00001A000000}"/>
    <cellStyle name="Standaard 27 2" xfId="29" xr:uid="{00000000-0005-0000-0000-00001B000000}"/>
    <cellStyle name="Standaard 30 2" xfId="32" xr:uid="{6C207B88-700D-473A-9DE3-E87421FCAE72}"/>
    <cellStyle name="Standaard 31 2" xfId="79" xr:uid="{C0701E3F-FEDB-48B8-BFEB-F123F6CEBC33}"/>
    <cellStyle name="Standaard 4 2" xfId="7" xr:uid="{00000000-0005-0000-0000-00001C000000}"/>
    <cellStyle name="Standaard 52 2" xfId="27" xr:uid="{00000000-0005-0000-0000-00001D000000}"/>
    <cellStyle name="Standaard 53 2" xfId="28" xr:uid="{00000000-0005-0000-0000-00001E000000}"/>
    <cellStyle name="Standaard 62 2" xfId="37" xr:uid="{9F1D4467-5C87-4E99-9047-AB985B95CB0B}"/>
    <cellStyle name="Standaard 63 2" xfId="38" xr:uid="{7E37A7BA-C511-4CFC-9049-816D3CCC7395}"/>
    <cellStyle name="Standaard 64 2" xfId="39" xr:uid="{D8F67D73-7E97-4A04-83D7-367E027A7A5E}"/>
    <cellStyle name="Standaard 65" xfId="40" xr:uid="{9F0557F9-F72F-42EA-B475-55ED0FAFB40C}"/>
    <cellStyle name="Standaard 66 2" xfId="41" xr:uid="{6E18278A-50C3-4F7C-B154-76F19B54CC4C}"/>
    <cellStyle name="Standaard 68 2" xfId="36" xr:uid="{61147359-2167-4669-83D5-D0AE079322E7}"/>
    <cellStyle name="Standaard 69 2" xfId="42" xr:uid="{0CC87385-D833-4B90-B7F7-F9EBF10BC555}"/>
    <cellStyle name="Standaard 7 2" xfId="25" xr:uid="{00000000-0005-0000-0000-00001F000000}"/>
  </cellStyles>
  <dxfs count="68">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strike val="0"/>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F105"/>
      <color rgb="FFFF3300"/>
      <color rgb="FFFF33CC"/>
      <color rgb="FF43CEFF"/>
      <color rgb="FF21B9AE"/>
      <color rgb="FFA66BD3"/>
      <color rgb="FFFF99FF"/>
      <color rgb="FF00E6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6.emf"/><Relationship Id="rId7" Type="http://schemas.openxmlformats.org/officeDocument/2006/relationships/image" Target="../media/image40.png"/><Relationship Id="rId2" Type="http://schemas.openxmlformats.org/officeDocument/2006/relationships/image" Target="../media/image38.emf"/><Relationship Id="rId1" Type="http://schemas.openxmlformats.org/officeDocument/2006/relationships/image" Target="../media/image32.png"/><Relationship Id="rId6" Type="http://schemas.openxmlformats.org/officeDocument/2006/relationships/image" Target="../media/image39.png"/><Relationship Id="rId5" Type="http://schemas.openxmlformats.org/officeDocument/2006/relationships/image" Target="../media/image9.emf"/><Relationship Id="rId4" Type="http://schemas.openxmlformats.org/officeDocument/2006/relationships/image" Target="../media/image43.jpeg"/></Relationships>
</file>

<file path=xl/drawings/_rels/drawing11.xml.rels><?xml version="1.0" encoding="UTF-8" standalone="yes"?>
<Relationships xmlns="http://schemas.openxmlformats.org/package/2006/relationships"><Relationship Id="rId13" Type="http://schemas.openxmlformats.org/officeDocument/2006/relationships/image" Target="../media/image55.jpeg"/><Relationship Id="rId18" Type="http://schemas.openxmlformats.org/officeDocument/2006/relationships/image" Target="../media/image58.emf"/><Relationship Id="rId26" Type="http://schemas.openxmlformats.org/officeDocument/2006/relationships/image" Target="../media/image65.emf"/><Relationship Id="rId39" Type="http://schemas.openxmlformats.org/officeDocument/2006/relationships/image" Target="../media/image22.png"/><Relationship Id="rId21" Type="http://schemas.openxmlformats.org/officeDocument/2006/relationships/image" Target="../media/image61.png"/><Relationship Id="rId34" Type="http://schemas.openxmlformats.org/officeDocument/2006/relationships/image" Target="../media/image40.png"/><Relationship Id="rId42" Type="http://schemas.openxmlformats.org/officeDocument/2006/relationships/image" Target="../media/image72.png"/><Relationship Id="rId47" Type="http://schemas.openxmlformats.org/officeDocument/2006/relationships/image" Target="../media/image24.jpeg"/><Relationship Id="rId50" Type="http://schemas.openxmlformats.org/officeDocument/2006/relationships/image" Target="../media/image26.png"/><Relationship Id="rId55" Type="http://schemas.openxmlformats.org/officeDocument/2006/relationships/image" Target="../media/image79.png"/><Relationship Id="rId7" Type="http://schemas.openxmlformats.org/officeDocument/2006/relationships/image" Target="../media/image49.png"/><Relationship Id="rId2" Type="http://schemas.openxmlformats.org/officeDocument/2006/relationships/image" Target="../media/image45.png"/><Relationship Id="rId16" Type="http://schemas.openxmlformats.org/officeDocument/2006/relationships/image" Target="../media/image42.png"/><Relationship Id="rId29" Type="http://schemas.openxmlformats.org/officeDocument/2006/relationships/image" Target="../media/image68.jpeg"/><Relationship Id="rId11" Type="http://schemas.openxmlformats.org/officeDocument/2006/relationships/image" Target="../media/image53.png"/><Relationship Id="rId24" Type="http://schemas.openxmlformats.org/officeDocument/2006/relationships/image" Target="../media/image64.jpeg"/><Relationship Id="rId32" Type="http://schemas.openxmlformats.org/officeDocument/2006/relationships/image" Target="../media/image71.png"/><Relationship Id="rId37" Type="http://schemas.openxmlformats.org/officeDocument/2006/relationships/image" Target="../media/image18.png"/><Relationship Id="rId40" Type="http://schemas.openxmlformats.org/officeDocument/2006/relationships/image" Target="../media/image9.emf"/><Relationship Id="rId45" Type="http://schemas.openxmlformats.org/officeDocument/2006/relationships/image" Target="../media/image73.png"/><Relationship Id="rId53" Type="http://schemas.openxmlformats.org/officeDocument/2006/relationships/image" Target="../media/image77.png"/><Relationship Id="rId5" Type="http://schemas.openxmlformats.org/officeDocument/2006/relationships/image" Target="../media/image47.jpg"/><Relationship Id="rId10" Type="http://schemas.openxmlformats.org/officeDocument/2006/relationships/image" Target="../media/image52.png"/><Relationship Id="rId19" Type="http://schemas.openxmlformats.org/officeDocument/2006/relationships/image" Target="../media/image59.emf"/><Relationship Id="rId31" Type="http://schemas.openxmlformats.org/officeDocument/2006/relationships/image" Target="../media/image70.emf"/><Relationship Id="rId44" Type="http://schemas.openxmlformats.org/officeDocument/2006/relationships/image" Target="../media/image21.png"/><Relationship Id="rId52" Type="http://schemas.openxmlformats.org/officeDocument/2006/relationships/image" Target="../media/image76.png"/><Relationship Id="rId4" Type="http://schemas.openxmlformats.org/officeDocument/2006/relationships/image" Target="../media/image46.png"/><Relationship Id="rId9" Type="http://schemas.openxmlformats.org/officeDocument/2006/relationships/image" Target="../media/image51.png"/><Relationship Id="rId14" Type="http://schemas.openxmlformats.org/officeDocument/2006/relationships/image" Target="../media/image56.jpg"/><Relationship Id="rId22" Type="http://schemas.openxmlformats.org/officeDocument/2006/relationships/image" Target="../media/image62.png"/><Relationship Id="rId27" Type="http://schemas.openxmlformats.org/officeDocument/2006/relationships/image" Target="../media/image66.png"/><Relationship Id="rId30" Type="http://schemas.openxmlformats.org/officeDocument/2006/relationships/image" Target="../media/image69.jpeg"/><Relationship Id="rId35" Type="http://schemas.openxmlformats.org/officeDocument/2006/relationships/image" Target="../media/image19.png"/><Relationship Id="rId43" Type="http://schemas.openxmlformats.org/officeDocument/2006/relationships/image" Target="../media/image11.png"/><Relationship Id="rId48" Type="http://schemas.openxmlformats.org/officeDocument/2006/relationships/image" Target="../media/image27.png"/><Relationship Id="rId56" Type="http://schemas.openxmlformats.org/officeDocument/2006/relationships/image" Target="../media/image80.png"/><Relationship Id="rId8" Type="http://schemas.openxmlformats.org/officeDocument/2006/relationships/image" Target="../media/image50.png"/><Relationship Id="rId51" Type="http://schemas.openxmlformats.org/officeDocument/2006/relationships/image" Target="../media/image75.png"/><Relationship Id="rId3" Type="http://schemas.openxmlformats.org/officeDocument/2006/relationships/image" Target="../media/image1.jpeg"/><Relationship Id="rId12" Type="http://schemas.openxmlformats.org/officeDocument/2006/relationships/image" Target="../media/image54.png"/><Relationship Id="rId17" Type="http://schemas.openxmlformats.org/officeDocument/2006/relationships/image" Target="../media/image57.png"/><Relationship Id="rId25" Type="http://schemas.openxmlformats.org/officeDocument/2006/relationships/image" Target="../media/image17.emf"/><Relationship Id="rId33" Type="http://schemas.openxmlformats.org/officeDocument/2006/relationships/image" Target="../media/image36.emf"/><Relationship Id="rId38" Type="http://schemas.openxmlformats.org/officeDocument/2006/relationships/image" Target="../media/image20.jpeg"/><Relationship Id="rId46" Type="http://schemas.openxmlformats.org/officeDocument/2006/relationships/image" Target="../media/image74.png"/><Relationship Id="rId20" Type="http://schemas.openxmlformats.org/officeDocument/2006/relationships/image" Target="../media/image60.png"/><Relationship Id="rId41" Type="http://schemas.openxmlformats.org/officeDocument/2006/relationships/image" Target="../media/image8.jpeg"/><Relationship Id="rId54" Type="http://schemas.openxmlformats.org/officeDocument/2006/relationships/image" Target="../media/image78.png"/><Relationship Id="rId1" Type="http://schemas.openxmlformats.org/officeDocument/2006/relationships/image" Target="../media/image44.jpeg"/><Relationship Id="rId6" Type="http://schemas.openxmlformats.org/officeDocument/2006/relationships/image" Target="../media/image48.png"/><Relationship Id="rId15" Type="http://schemas.openxmlformats.org/officeDocument/2006/relationships/image" Target="../media/image41.png"/><Relationship Id="rId23" Type="http://schemas.openxmlformats.org/officeDocument/2006/relationships/image" Target="../media/image63.png"/><Relationship Id="rId28" Type="http://schemas.openxmlformats.org/officeDocument/2006/relationships/image" Target="../media/image67.png"/><Relationship Id="rId36" Type="http://schemas.openxmlformats.org/officeDocument/2006/relationships/image" Target="../media/image12.png"/><Relationship Id="rId4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jpeg"/><Relationship Id="rId7" Type="http://schemas.openxmlformats.org/officeDocument/2006/relationships/image" Target="../media/image12.png"/><Relationship Id="rId12" Type="http://schemas.openxmlformats.org/officeDocument/2006/relationships/image" Target="../media/image17.emf"/><Relationship Id="rId2" Type="http://schemas.openxmlformats.org/officeDocument/2006/relationships/image" Target="../media/image5.png"/><Relationship Id="rId1" Type="http://schemas.openxmlformats.org/officeDocument/2006/relationships/image" Target="../media/image1.jpe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emf"/><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9.png"/><Relationship Id="rId7" Type="http://schemas.openxmlformats.org/officeDocument/2006/relationships/image" Target="../media/image22.png"/><Relationship Id="rId12" Type="http://schemas.openxmlformats.org/officeDocument/2006/relationships/image" Target="../media/image26.png"/><Relationship Id="rId2" Type="http://schemas.openxmlformats.org/officeDocument/2006/relationships/image" Target="../media/image18.png"/><Relationship Id="rId1" Type="http://schemas.openxmlformats.org/officeDocument/2006/relationships/image" Target="../media/image1.jpeg"/><Relationship Id="rId6" Type="http://schemas.openxmlformats.org/officeDocument/2006/relationships/image" Target="../media/image21.png"/><Relationship Id="rId11" Type="http://schemas.openxmlformats.org/officeDocument/2006/relationships/image" Target="../media/image25.png"/><Relationship Id="rId5" Type="http://schemas.openxmlformats.org/officeDocument/2006/relationships/image" Target="../media/image20.jpeg"/><Relationship Id="rId10" Type="http://schemas.openxmlformats.org/officeDocument/2006/relationships/image" Target="../media/image24.jpeg"/><Relationship Id="rId4" Type="http://schemas.openxmlformats.org/officeDocument/2006/relationships/image" Target="../media/image14.png"/><Relationship Id="rId9"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6.png"/><Relationship Id="rId3" Type="http://schemas.openxmlformats.org/officeDocument/2006/relationships/image" Target="../media/image19.png"/><Relationship Id="rId7" Type="http://schemas.openxmlformats.org/officeDocument/2006/relationships/image" Target="../media/image27.png"/><Relationship Id="rId12" Type="http://schemas.openxmlformats.org/officeDocument/2006/relationships/image" Target="../media/image25.png"/><Relationship Id="rId2" Type="http://schemas.openxmlformats.org/officeDocument/2006/relationships/image" Target="../media/image18.png"/><Relationship Id="rId1" Type="http://schemas.openxmlformats.org/officeDocument/2006/relationships/image" Target="../media/image1.jpeg"/><Relationship Id="rId6" Type="http://schemas.openxmlformats.org/officeDocument/2006/relationships/image" Target="../media/image20.jpeg"/><Relationship Id="rId11" Type="http://schemas.openxmlformats.org/officeDocument/2006/relationships/image" Target="../media/image24.jpeg"/><Relationship Id="rId5" Type="http://schemas.openxmlformats.org/officeDocument/2006/relationships/image" Target="../media/image14.png"/><Relationship Id="rId10" Type="http://schemas.openxmlformats.org/officeDocument/2006/relationships/image" Target="../media/image23.png"/><Relationship Id="rId4" Type="http://schemas.openxmlformats.org/officeDocument/2006/relationships/image" Target="../media/image21.png"/><Relationship Id="rId9" Type="http://schemas.openxmlformats.org/officeDocument/2006/relationships/image" Target="../media/image2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9.png"/><Relationship Id="rId7"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jpeg"/><Relationship Id="rId6" Type="http://schemas.openxmlformats.org/officeDocument/2006/relationships/image" Target="../media/image22.png"/><Relationship Id="rId11" Type="http://schemas.openxmlformats.org/officeDocument/2006/relationships/image" Target="../media/image25.png"/><Relationship Id="rId5" Type="http://schemas.openxmlformats.org/officeDocument/2006/relationships/image" Target="../media/image20.jpeg"/><Relationship Id="rId10" Type="http://schemas.openxmlformats.org/officeDocument/2006/relationships/image" Target="../media/image26.png"/><Relationship Id="rId4" Type="http://schemas.openxmlformats.org/officeDocument/2006/relationships/image" Target="../media/image29.png"/><Relationship Id="rId9" Type="http://schemas.openxmlformats.org/officeDocument/2006/relationships/image" Target="../media/image2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9.png"/><Relationship Id="rId7"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jpeg"/><Relationship Id="rId6" Type="http://schemas.openxmlformats.org/officeDocument/2006/relationships/image" Target="../media/image22.png"/><Relationship Id="rId11" Type="http://schemas.openxmlformats.org/officeDocument/2006/relationships/image" Target="../media/image26.png"/><Relationship Id="rId5" Type="http://schemas.openxmlformats.org/officeDocument/2006/relationships/image" Target="../media/image20.jpeg"/><Relationship Id="rId10" Type="http://schemas.openxmlformats.org/officeDocument/2006/relationships/image" Target="../media/image25.png"/><Relationship Id="rId4" Type="http://schemas.openxmlformats.org/officeDocument/2006/relationships/image" Target="../media/image30.emf"/><Relationship Id="rId9"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1.jpeg"/><Relationship Id="rId6" Type="http://schemas.openxmlformats.org/officeDocument/2006/relationships/image" Target="../media/image35.jpeg"/><Relationship Id="rId5" Type="http://schemas.openxmlformats.org/officeDocument/2006/relationships/image" Target="../media/image34.png"/><Relationship Id="rId4" Type="http://schemas.openxmlformats.org/officeDocument/2006/relationships/image" Target="../media/image33.png"/></Relationships>
</file>

<file path=xl/drawings/_rels/drawing8.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6.emf"/><Relationship Id="rId7" Type="http://schemas.openxmlformats.org/officeDocument/2006/relationships/image" Target="../media/image39.png"/><Relationship Id="rId12" Type="http://schemas.openxmlformats.org/officeDocument/2006/relationships/image" Target="../media/image17.emf"/><Relationship Id="rId2" Type="http://schemas.openxmlformats.org/officeDocument/2006/relationships/image" Target="../media/image32.png"/><Relationship Id="rId1" Type="http://schemas.openxmlformats.org/officeDocument/2006/relationships/image" Target="../media/image1.jpeg"/><Relationship Id="rId6" Type="http://schemas.openxmlformats.org/officeDocument/2006/relationships/image" Target="../media/image9.emf"/><Relationship Id="rId11" Type="http://schemas.openxmlformats.org/officeDocument/2006/relationships/image" Target="../media/image42.png"/><Relationship Id="rId5" Type="http://schemas.openxmlformats.org/officeDocument/2006/relationships/image" Target="../media/image38.emf"/><Relationship Id="rId10" Type="http://schemas.openxmlformats.org/officeDocument/2006/relationships/image" Target="../media/image41.png"/><Relationship Id="rId4" Type="http://schemas.openxmlformats.org/officeDocument/2006/relationships/image" Target="../media/image37.jpeg"/><Relationship Id="rId9" Type="http://schemas.openxmlformats.org/officeDocument/2006/relationships/image" Target="../media/image40.png"/></Relationships>
</file>

<file path=xl/drawings/_rels/drawing9.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6.emf"/><Relationship Id="rId7" Type="http://schemas.openxmlformats.org/officeDocument/2006/relationships/image" Target="../media/image39.png"/><Relationship Id="rId2" Type="http://schemas.openxmlformats.org/officeDocument/2006/relationships/image" Target="../media/image32.png"/><Relationship Id="rId1" Type="http://schemas.openxmlformats.org/officeDocument/2006/relationships/image" Target="../media/image1.jpeg"/><Relationship Id="rId6" Type="http://schemas.openxmlformats.org/officeDocument/2006/relationships/image" Target="../media/image9.emf"/><Relationship Id="rId5" Type="http://schemas.openxmlformats.org/officeDocument/2006/relationships/image" Target="../media/image38.emf"/><Relationship Id="rId4" Type="http://schemas.openxmlformats.org/officeDocument/2006/relationships/image" Target="../media/image37.jpeg"/><Relationship Id="rId9" Type="http://schemas.openxmlformats.org/officeDocument/2006/relationships/image" Target="../media/image40.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114300</xdr:rowOff>
    </xdr:from>
    <xdr:ext cx="1524000" cy="1428750"/>
    <xdr:pic>
      <xdr:nvPicPr>
        <xdr:cNvPr id="2" name="Imagine 1">
          <a:extLst>
            <a:ext uri="{FF2B5EF4-FFF2-40B4-BE49-F238E27FC236}">
              <a16:creationId xmlns:a16="http://schemas.microsoft.com/office/drawing/2014/main" id="{DFCB483F-8E85-42EE-A02F-525AA04EF1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524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571501</xdr:colOff>
      <xdr:row>12</xdr:row>
      <xdr:rowOff>76201</xdr:rowOff>
    </xdr:from>
    <xdr:to>
      <xdr:col>2</xdr:col>
      <xdr:colOff>1933575</xdr:colOff>
      <xdr:row>15</xdr:row>
      <xdr:rowOff>40895</xdr:rowOff>
    </xdr:to>
    <xdr:pic>
      <xdr:nvPicPr>
        <xdr:cNvPr id="10" name="Imagine 9">
          <a:extLst>
            <a:ext uri="{FF2B5EF4-FFF2-40B4-BE49-F238E27FC236}">
              <a16:creationId xmlns:a16="http://schemas.microsoft.com/office/drawing/2014/main" id="{0D581A40-139F-18A7-D751-E3EB6326CCFB}"/>
            </a:ext>
          </a:extLst>
        </xdr:cNvPr>
        <xdr:cNvPicPr>
          <a:picLocks noChangeAspect="1"/>
        </xdr:cNvPicPr>
      </xdr:nvPicPr>
      <xdr:blipFill>
        <a:blip xmlns:r="http://schemas.openxmlformats.org/officeDocument/2006/relationships" r:embed="rId2"/>
        <a:stretch>
          <a:fillRect/>
        </a:stretch>
      </xdr:blipFill>
      <xdr:spPr>
        <a:xfrm>
          <a:off x="1571626" y="3800476"/>
          <a:ext cx="1362074" cy="1193419"/>
        </a:xfrm>
        <a:prstGeom prst="rect">
          <a:avLst/>
        </a:prstGeom>
      </xdr:spPr>
    </xdr:pic>
    <xdr:clientData/>
  </xdr:twoCellAnchor>
  <xdr:twoCellAnchor editAs="oneCell">
    <xdr:from>
      <xdr:col>2</xdr:col>
      <xdr:colOff>2286000</xdr:colOff>
      <xdr:row>12</xdr:row>
      <xdr:rowOff>47624</xdr:rowOff>
    </xdr:from>
    <xdr:to>
      <xdr:col>2</xdr:col>
      <xdr:colOff>4162425</xdr:colOff>
      <xdr:row>15</xdr:row>
      <xdr:rowOff>53975</xdr:rowOff>
    </xdr:to>
    <xdr:pic>
      <xdr:nvPicPr>
        <xdr:cNvPr id="11" name="Imagine 10">
          <a:extLst>
            <a:ext uri="{FF2B5EF4-FFF2-40B4-BE49-F238E27FC236}">
              <a16:creationId xmlns:a16="http://schemas.microsoft.com/office/drawing/2014/main" id="{7757C7DE-B9F9-F92C-B2E7-061A3B7569A8}"/>
            </a:ext>
          </a:extLst>
        </xdr:cNvPr>
        <xdr:cNvPicPr>
          <a:picLocks noChangeAspect="1"/>
        </xdr:cNvPicPr>
      </xdr:nvPicPr>
      <xdr:blipFill>
        <a:blip xmlns:r="http://schemas.openxmlformats.org/officeDocument/2006/relationships" r:embed="rId3"/>
        <a:stretch>
          <a:fillRect/>
        </a:stretch>
      </xdr:blipFill>
      <xdr:spPr>
        <a:xfrm>
          <a:off x="3248025" y="3867149"/>
          <a:ext cx="1876425" cy="1238251"/>
        </a:xfrm>
        <a:prstGeom prst="rect">
          <a:avLst/>
        </a:prstGeom>
      </xdr:spPr>
    </xdr:pic>
    <xdr:clientData/>
  </xdr:twoCellAnchor>
  <xdr:twoCellAnchor editAs="oneCell">
    <xdr:from>
      <xdr:col>3</xdr:col>
      <xdr:colOff>180975</xdr:colOff>
      <xdr:row>12</xdr:row>
      <xdr:rowOff>114300</xdr:rowOff>
    </xdr:from>
    <xdr:to>
      <xdr:col>6</xdr:col>
      <xdr:colOff>561974</xdr:colOff>
      <xdr:row>13</xdr:row>
      <xdr:rowOff>392067</xdr:rowOff>
    </xdr:to>
    <xdr:pic>
      <xdr:nvPicPr>
        <xdr:cNvPr id="12" name="Imagine 11">
          <a:extLst>
            <a:ext uri="{FF2B5EF4-FFF2-40B4-BE49-F238E27FC236}">
              <a16:creationId xmlns:a16="http://schemas.microsoft.com/office/drawing/2014/main" id="{F0FC93D7-C386-EC1A-2AD0-BBB22FF33BED}"/>
            </a:ext>
          </a:extLst>
        </xdr:cNvPr>
        <xdr:cNvPicPr>
          <a:picLocks noChangeAspect="1"/>
        </xdr:cNvPicPr>
      </xdr:nvPicPr>
      <xdr:blipFill>
        <a:blip xmlns:r="http://schemas.openxmlformats.org/officeDocument/2006/relationships" r:embed="rId4"/>
        <a:stretch>
          <a:fillRect/>
        </a:stretch>
      </xdr:blipFill>
      <xdr:spPr>
        <a:xfrm>
          <a:off x="5343525" y="3933825"/>
          <a:ext cx="1866899" cy="773067"/>
        </a:xfrm>
        <a:prstGeom prst="rect">
          <a:avLst/>
        </a:prstGeom>
      </xdr:spPr>
    </xdr:pic>
    <xdr:clientData/>
  </xdr:twoCellAnchor>
  <xdr:twoCellAnchor editAs="oneCell">
    <xdr:from>
      <xdr:col>0</xdr:col>
      <xdr:colOff>190500</xdr:colOff>
      <xdr:row>12</xdr:row>
      <xdr:rowOff>49035</xdr:rowOff>
    </xdr:from>
    <xdr:to>
      <xdr:col>2</xdr:col>
      <xdr:colOff>361950</xdr:colOff>
      <xdr:row>15</xdr:row>
      <xdr:rowOff>38006</xdr:rowOff>
    </xdr:to>
    <xdr:pic>
      <xdr:nvPicPr>
        <xdr:cNvPr id="14" name="Imagine 13">
          <a:extLst>
            <a:ext uri="{FF2B5EF4-FFF2-40B4-BE49-F238E27FC236}">
              <a16:creationId xmlns:a16="http://schemas.microsoft.com/office/drawing/2014/main" id="{44A96BA2-C05E-90CA-90BD-4ECCA6EFA38C}"/>
            </a:ext>
          </a:extLst>
        </xdr:cNvPr>
        <xdr:cNvPicPr>
          <a:picLocks noChangeAspect="1"/>
        </xdr:cNvPicPr>
      </xdr:nvPicPr>
      <xdr:blipFill>
        <a:blip xmlns:r="http://schemas.openxmlformats.org/officeDocument/2006/relationships" r:embed="rId5"/>
        <a:stretch>
          <a:fillRect/>
        </a:stretch>
      </xdr:blipFill>
      <xdr:spPr>
        <a:xfrm>
          <a:off x="190500" y="3973335"/>
          <a:ext cx="1181100" cy="12208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28831</xdr:colOff>
      <xdr:row>33</xdr:row>
      <xdr:rowOff>40430</xdr:rowOff>
    </xdr:from>
    <xdr:to>
      <xdr:col>0</xdr:col>
      <xdr:colOff>1399190</xdr:colOff>
      <xdr:row>33</xdr:row>
      <xdr:rowOff>858728</xdr:rowOff>
    </xdr:to>
    <xdr:pic>
      <xdr:nvPicPr>
        <xdr:cNvPr id="29" name="Imagine 3">
          <a:extLst>
            <a:ext uri="{FF2B5EF4-FFF2-40B4-BE49-F238E27FC236}">
              <a16:creationId xmlns:a16="http://schemas.microsoft.com/office/drawing/2014/main" id="{FB1A5B99-198B-45A1-8026-26161E96B2B7}"/>
            </a:ext>
          </a:extLst>
        </xdr:cNvPr>
        <xdr:cNvPicPr>
          <a:picLocks noChangeAspect="1"/>
        </xdr:cNvPicPr>
      </xdr:nvPicPr>
      <xdr:blipFill rotWithShape="1">
        <a:blip xmlns:r="http://schemas.openxmlformats.org/officeDocument/2006/relationships" r:embed="rId1"/>
        <a:srcRect b="25421"/>
        <a:stretch/>
      </xdr:blipFill>
      <xdr:spPr>
        <a:xfrm>
          <a:off x="28831" y="7791809"/>
          <a:ext cx="1370359" cy="818298"/>
        </a:xfrm>
        <a:prstGeom prst="rect">
          <a:avLst/>
        </a:prstGeom>
      </xdr:spPr>
    </xdr:pic>
    <xdr:clientData/>
  </xdr:twoCellAnchor>
  <xdr:twoCellAnchor>
    <xdr:from>
      <xdr:col>0</xdr:col>
      <xdr:colOff>57975</xdr:colOff>
      <xdr:row>31</xdr:row>
      <xdr:rowOff>105448</xdr:rowOff>
    </xdr:from>
    <xdr:to>
      <xdr:col>0</xdr:col>
      <xdr:colOff>1391962</xdr:colOff>
      <xdr:row>31</xdr:row>
      <xdr:rowOff>744589</xdr:rowOff>
    </xdr:to>
    <xdr:pic>
      <xdr:nvPicPr>
        <xdr:cNvPr id="30" name="Picture 16">
          <a:extLst>
            <a:ext uri="{FF2B5EF4-FFF2-40B4-BE49-F238E27FC236}">
              <a16:creationId xmlns:a16="http://schemas.microsoft.com/office/drawing/2014/main" id="{5A20C9B9-764C-4C5F-9715-478E2BA895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75" y="6891189"/>
          <a:ext cx="1333987" cy="639141"/>
        </a:xfrm>
        <a:prstGeom prst="rect">
          <a:avLst/>
        </a:prstGeom>
        <a:noFill/>
      </xdr:spPr>
    </xdr:pic>
    <xdr:clientData/>
  </xdr:twoCellAnchor>
  <xdr:twoCellAnchor>
    <xdr:from>
      <xdr:col>0</xdr:col>
      <xdr:colOff>41194</xdr:colOff>
      <xdr:row>28</xdr:row>
      <xdr:rowOff>27424</xdr:rowOff>
    </xdr:from>
    <xdr:to>
      <xdr:col>0</xdr:col>
      <xdr:colOff>1410521</xdr:colOff>
      <xdr:row>29</xdr:row>
      <xdr:rowOff>305127</xdr:rowOff>
    </xdr:to>
    <xdr:pic>
      <xdr:nvPicPr>
        <xdr:cNvPr id="31" name="Picture 12">
          <a:extLst>
            <a:ext uri="{FF2B5EF4-FFF2-40B4-BE49-F238E27FC236}">
              <a16:creationId xmlns:a16="http://schemas.microsoft.com/office/drawing/2014/main" id="{63796167-B045-4D33-9128-9DD5A6EAF69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41194" y="5985476"/>
          <a:ext cx="1369327" cy="599582"/>
        </a:xfrm>
        <a:prstGeom prst="rect">
          <a:avLst/>
        </a:prstGeom>
        <a:noFill/>
      </xdr:spPr>
    </xdr:pic>
    <xdr:clientData/>
  </xdr:twoCellAnchor>
  <xdr:twoCellAnchor>
    <xdr:from>
      <xdr:col>0</xdr:col>
      <xdr:colOff>36548</xdr:colOff>
      <xdr:row>35</xdr:row>
      <xdr:rowOff>42726</xdr:rowOff>
    </xdr:from>
    <xdr:to>
      <xdr:col>0</xdr:col>
      <xdr:colOff>1402145</xdr:colOff>
      <xdr:row>35</xdr:row>
      <xdr:rowOff>851499</xdr:rowOff>
    </xdr:to>
    <xdr:pic>
      <xdr:nvPicPr>
        <xdr:cNvPr id="32" name="Imagine 3">
          <a:extLst>
            <a:ext uri="{FF2B5EF4-FFF2-40B4-BE49-F238E27FC236}">
              <a16:creationId xmlns:a16="http://schemas.microsoft.com/office/drawing/2014/main" id="{62F109D1-DC0A-40FA-BC62-773BA680039A}"/>
            </a:ext>
          </a:extLst>
        </xdr:cNvPr>
        <xdr:cNvPicPr>
          <a:picLocks noChangeAspect="1"/>
        </xdr:cNvPicPr>
      </xdr:nvPicPr>
      <xdr:blipFill rotWithShape="1">
        <a:blip xmlns:r="http://schemas.openxmlformats.org/officeDocument/2006/relationships" r:embed="rId1"/>
        <a:srcRect b="25421"/>
        <a:stretch/>
      </xdr:blipFill>
      <xdr:spPr>
        <a:xfrm>
          <a:off x="36548" y="8851709"/>
          <a:ext cx="1365597" cy="808773"/>
        </a:xfrm>
        <a:prstGeom prst="rect">
          <a:avLst/>
        </a:prstGeom>
      </xdr:spPr>
    </xdr:pic>
    <xdr:clientData/>
  </xdr:twoCellAnchor>
  <xdr:twoCellAnchor editAs="oneCell">
    <xdr:from>
      <xdr:col>0</xdr:col>
      <xdr:colOff>28576</xdr:colOff>
      <xdr:row>0</xdr:row>
      <xdr:rowOff>0</xdr:rowOff>
    </xdr:from>
    <xdr:to>
      <xdr:col>0</xdr:col>
      <xdr:colOff>1362835</xdr:colOff>
      <xdr:row>4</xdr:row>
      <xdr:rowOff>152400</xdr:rowOff>
    </xdr:to>
    <xdr:pic>
      <xdr:nvPicPr>
        <xdr:cNvPr id="36" name="Imagine 1">
          <a:extLst>
            <a:ext uri="{FF2B5EF4-FFF2-40B4-BE49-F238E27FC236}">
              <a16:creationId xmlns:a16="http://schemas.microsoft.com/office/drawing/2014/main" id="{761FC53F-EF2E-419C-8882-60873886830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6" y="0"/>
          <a:ext cx="133425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75922</xdr:colOff>
      <xdr:row>37</xdr:row>
      <xdr:rowOff>24773</xdr:rowOff>
    </xdr:from>
    <xdr:to>
      <xdr:col>6</xdr:col>
      <xdr:colOff>503586</xdr:colOff>
      <xdr:row>45</xdr:row>
      <xdr:rowOff>179253</xdr:rowOff>
    </xdr:to>
    <xdr:pic>
      <xdr:nvPicPr>
        <xdr:cNvPr id="33" name="Picture 30">
          <a:extLst>
            <a:ext uri="{FF2B5EF4-FFF2-40B4-BE49-F238E27FC236}">
              <a16:creationId xmlns:a16="http://schemas.microsoft.com/office/drawing/2014/main" id="{4E648B07-D959-4723-8FDE-5EA72F86843D}"/>
            </a:ext>
          </a:extLst>
        </xdr:cNvPr>
        <xdr:cNvPicPr>
          <a:picLocks noChangeAspect="1" noChangeArrowheads="1"/>
        </xdr:cNvPicPr>
      </xdr:nvPicPr>
      <xdr:blipFill rotWithShape="1">
        <a:blip xmlns:r="http://schemas.openxmlformats.org/officeDocument/2006/relationships" r:embed="rId5"/>
        <a:srcRect t="5888" b="7752"/>
        <a:stretch/>
      </xdr:blipFill>
      <xdr:spPr bwMode="auto">
        <a:xfrm>
          <a:off x="2790547" y="10364160"/>
          <a:ext cx="2351714" cy="1597518"/>
        </a:xfrm>
        <a:prstGeom prst="rect">
          <a:avLst/>
        </a:prstGeom>
        <a:noFill/>
      </xdr:spPr>
    </xdr:pic>
    <xdr:clientData/>
  </xdr:twoCellAnchor>
  <xdr:twoCellAnchor>
    <xdr:from>
      <xdr:col>1</xdr:col>
      <xdr:colOff>38428</xdr:colOff>
      <xdr:row>36</xdr:row>
      <xdr:rowOff>149790</xdr:rowOff>
    </xdr:from>
    <xdr:to>
      <xdr:col>2</xdr:col>
      <xdr:colOff>407662</xdr:colOff>
      <xdr:row>46</xdr:row>
      <xdr:rowOff>66963</xdr:rowOff>
    </xdr:to>
    <xdr:pic>
      <xdr:nvPicPr>
        <xdr:cNvPr id="34" name="Imagine 9">
          <a:extLst>
            <a:ext uri="{FF2B5EF4-FFF2-40B4-BE49-F238E27FC236}">
              <a16:creationId xmlns:a16="http://schemas.microsoft.com/office/drawing/2014/main" id="{2694D320-CDCB-4331-AC85-240B6444D790}"/>
            </a:ext>
          </a:extLst>
        </xdr:cNvPr>
        <xdr:cNvPicPr>
          <a:picLocks noChangeAspect="1"/>
        </xdr:cNvPicPr>
      </xdr:nvPicPr>
      <xdr:blipFill>
        <a:blip xmlns:r="http://schemas.openxmlformats.org/officeDocument/2006/relationships" r:embed="rId6"/>
        <a:stretch>
          <a:fillRect/>
        </a:stretch>
      </xdr:blipFill>
      <xdr:spPr>
        <a:xfrm>
          <a:off x="1457653" y="10308202"/>
          <a:ext cx="1016934" cy="1722161"/>
        </a:xfrm>
        <a:prstGeom prst="rect">
          <a:avLst/>
        </a:prstGeom>
      </xdr:spPr>
    </xdr:pic>
    <xdr:clientData/>
  </xdr:twoCellAnchor>
  <xdr:twoCellAnchor>
    <xdr:from>
      <xdr:col>7</xdr:col>
      <xdr:colOff>272143</xdr:colOff>
      <xdr:row>39</xdr:row>
      <xdr:rowOff>27214</xdr:rowOff>
    </xdr:from>
    <xdr:to>
      <xdr:col>10</xdr:col>
      <xdr:colOff>227357</xdr:colOff>
      <xdr:row>44</xdr:row>
      <xdr:rowOff>37243</xdr:rowOff>
    </xdr:to>
    <xdr:pic>
      <xdr:nvPicPr>
        <xdr:cNvPr id="37" name="Imagine 11">
          <a:extLst>
            <a:ext uri="{FF2B5EF4-FFF2-40B4-BE49-F238E27FC236}">
              <a16:creationId xmlns:a16="http://schemas.microsoft.com/office/drawing/2014/main" id="{CBD7CC2E-786E-4C62-8025-CD78A959B222}"/>
            </a:ext>
          </a:extLst>
        </xdr:cNvPr>
        <xdr:cNvPicPr>
          <a:picLocks noChangeAspect="1"/>
        </xdr:cNvPicPr>
      </xdr:nvPicPr>
      <xdr:blipFill>
        <a:blip xmlns:r="http://schemas.openxmlformats.org/officeDocument/2006/relationships" r:embed="rId7"/>
        <a:stretch>
          <a:fillRect/>
        </a:stretch>
      </xdr:blipFill>
      <xdr:spPr>
        <a:xfrm>
          <a:off x="5544230" y="10723789"/>
          <a:ext cx="1836402" cy="914904"/>
        </a:xfrm>
        <a:prstGeom prst="rect">
          <a:avLst/>
        </a:prstGeom>
      </xdr:spPr>
    </xdr:pic>
    <xdr:clientData/>
  </xdr:twoCellAnchor>
  <xdr:twoCellAnchor>
    <xdr:from>
      <xdr:col>0</xdr:col>
      <xdr:colOff>122978</xdr:colOff>
      <xdr:row>36</xdr:row>
      <xdr:rowOff>127987</xdr:rowOff>
    </xdr:from>
    <xdr:to>
      <xdr:col>0</xdr:col>
      <xdr:colOff>961516</xdr:colOff>
      <xdr:row>46</xdr:row>
      <xdr:rowOff>121514</xdr:rowOff>
    </xdr:to>
    <xdr:pic>
      <xdr:nvPicPr>
        <xdr:cNvPr id="35" name="Imagine 10">
          <a:extLst>
            <a:ext uri="{FF2B5EF4-FFF2-40B4-BE49-F238E27FC236}">
              <a16:creationId xmlns:a16="http://schemas.microsoft.com/office/drawing/2014/main" id="{A86AD83A-B252-43F7-BFA9-D43B12294B16}"/>
            </a:ext>
          </a:extLst>
        </xdr:cNvPr>
        <xdr:cNvPicPr>
          <a:picLocks noChangeAspect="1"/>
        </xdr:cNvPicPr>
      </xdr:nvPicPr>
      <xdr:blipFill>
        <a:blip xmlns:r="http://schemas.openxmlformats.org/officeDocument/2006/relationships" r:embed="rId8"/>
        <a:stretch>
          <a:fillRect/>
        </a:stretch>
      </xdr:blipFill>
      <xdr:spPr>
        <a:xfrm>
          <a:off x="122978" y="10286399"/>
          <a:ext cx="838538" cy="17985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38100</xdr:colOff>
      <xdr:row>10</xdr:row>
      <xdr:rowOff>152400</xdr:rowOff>
    </xdr:from>
    <xdr:to>
      <xdr:col>12</xdr:col>
      <xdr:colOff>9524</xdr:colOff>
      <xdr:row>12</xdr:row>
      <xdr:rowOff>838199</xdr:rowOff>
    </xdr:to>
    <xdr:pic>
      <xdr:nvPicPr>
        <xdr:cNvPr id="2" name="Picture 2" descr="MAGNUM Remote Control">
          <a:extLst>
            <a:ext uri="{FF2B5EF4-FFF2-40B4-BE49-F238E27FC236}">
              <a16:creationId xmlns:a16="http://schemas.microsoft.com/office/drawing/2014/main" id="{FB43AD41-0646-4CAA-B04E-EB211059AB4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86700" y="3324225"/>
          <a:ext cx="1136649" cy="1085849"/>
        </a:xfrm>
        <a:prstGeom prst="rect">
          <a:avLst/>
        </a:prstGeom>
        <a:noFill/>
      </xdr:spPr>
    </xdr:pic>
    <xdr:clientData/>
  </xdr:twoCellAnchor>
  <xdr:twoCellAnchor editAs="oneCell">
    <xdr:from>
      <xdr:col>16</xdr:col>
      <xdr:colOff>971551</xdr:colOff>
      <xdr:row>12</xdr:row>
      <xdr:rowOff>47624</xdr:rowOff>
    </xdr:from>
    <xdr:to>
      <xdr:col>18</xdr:col>
      <xdr:colOff>295275</xdr:colOff>
      <xdr:row>12</xdr:row>
      <xdr:rowOff>742605</xdr:rowOff>
    </xdr:to>
    <xdr:pic>
      <xdr:nvPicPr>
        <xdr:cNvPr id="3" name="Imagine 4">
          <a:extLst>
            <a:ext uri="{FF2B5EF4-FFF2-40B4-BE49-F238E27FC236}">
              <a16:creationId xmlns:a16="http://schemas.microsoft.com/office/drawing/2014/main" id="{24688649-3630-4A37-8321-A13847BF8C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96851" y="3717924"/>
          <a:ext cx="920749" cy="691806"/>
        </a:xfrm>
        <a:prstGeom prst="rect">
          <a:avLst/>
        </a:prstGeom>
      </xdr:spPr>
    </xdr:pic>
    <xdr:clientData/>
  </xdr:twoCellAnchor>
  <xdr:twoCellAnchor editAs="oneCell">
    <xdr:from>
      <xdr:col>0</xdr:col>
      <xdr:colOff>104775</xdr:colOff>
      <xdr:row>0</xdr:row>
      <xdr:rowOff>114300</xdr:rowOff>
    </xdr:from>
    <xdr:to>
      <xdr:col>2</xdr:col>
      <xdr:colOff>676275</xdr:colOff>
      <xdr:row>0</xdr:row>
      <xdr:rowOff>1543050</xdr:rowOff>
    </xdr:to>
    <xdr:pic>
      <xdr:nvPicPr>
        <xdr:cNvPr id="4" name="Imagine 5">
          <a:extLst>
            <a:ext uri="{FF2B5EF4-FFF2-40B4-BE49-F238E27FC236}">
              <a16:creationId xmlns:a16="http://schemas.microsoft.com/office/drawing/2014/main" id="{6EA91E7D-BCC4-4B5C-977F-07CD304269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600" y="114300"/>
          <a:ext cx="15621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600075</xdr:colOff>
      <xdr:row>16</xdr:row>
      <xdr:rowOff>342900</xdr:rowOff>
    </xdr:from>
    <xdr:to>
      <xdr:col>16</xdr:col>
      <xdr:colOff>990231</xdr:colOff>
      <xdr:row>22</xdr:row>
      <xdr:rowOff>92075</xdr:rowOff>
    </xdr:to>
    <xdr:pic>
      <xdr:nvPicPr>
        <xdr:cNvPr id="5" name="Imagine 6">
          <a:extLst>
            <a:ext uri="{FF2B5EF4-FFF2-40B4-BE49-F238E27FC236}">
              <a16:creationId xmlns:a16="http://schemas.microsoft.com/office/drawing/2014/main" id="{B92BE5BA-3F0E-4B8D-BA34-FF9D5A292454}"/>
            </a:ext>
          </a:extLst>
        </xdr:cNvPr>
        <xdr:cNvPicPr>
          <a:picLocks noChangeAspect="1"/>
        </xdr:cNvPicPr>
      </xdr:nvPicPr>
      <xdr:blipFill>
        <a:blip xmlns:r="http://schemas.openxmlformats.org/officeDocument/2006/relationships" r:embed="rId4"/>
        <a:stretch>
          <a:fillRect/>
        </a:stretch>
      </xdr:blipFill>
      <xdr:spPr>
        <a:xfrm>
          <a:off x="10887075" y="5819775"/>
          <a:ext cx="1999881" cy="1139825"/>
        </a:xfrm>
        <a:prstGeom prst="rect">
          <a:avLst/>
        </a:prstGeom>
      </xdr:spPr>
    </xdr:pic>
    <xdr:clientData/>
  </xdr:twoCellAnchor>
  <xdr:twoCellAnchor editAs="oneCell">
    <xdr:from>
      <xdr:col>14</xdr:col>
      <xdr:colOff>723900</xdr:colOff>
      <xdr:row>266</xdr:row>
      <xdr:rowOff>66675</xdr:rowOff>
    </xdr:from>
    <xdr:to>
      <xdr:col>19</xdr:col>
      <xdr:colOff>190500</xdr:colOff>
      <xdr:row>282</xdr:row>
      <xdr:rowOff>351</xdr:rowOff>
    </xdr:to>
    <xdr:pic>
      <xdr:nvPicPr>
        <xdr:cNvPr id="6" name="Imagine 7">
          <a:extLst>
            <a:ext uri="{FF2B5EF4-FFF2-40B4-BE49-F238E27FC236}">
              <a16:creationId xmlns:a16="http://schemas.microsoft.com/office/drawing/2014/main" id="{62D5BC4A-EC9C-4B76-B9D7-3BB1BE30150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039475" y="38249225"/>
          <a:ext cx="3314700" cy="2219676"/>
        </a:xfrm>
        <a:prstGeom prst="rect">
          <a:avLst/>
        </a:prstGeom>
      </xdr:spPr>
    </xdr:pic>
    <xdr:clientData/>
  </xdr:twoCellAnchor>
  <xdr:twoCellAnchor editAs="oneCell">
    <xdr:from>
      <xdr:col>20</xdr:col>
      <xdr:colOff>190502</xdr:colOff>
      <xdr:row>24</xdr:row>
      <xdr:rowOff>63501</xdr:rowOff>
    </xdr:from>
    <xdr:to>
      <xdr:col>21</xdr:col>
      <xdr:colOff>112205</xdr:colOff>
      <xdr:row>26</xdr:row>
      <xdr:rowOff>190500</xdr:rowOff>
    </xdr:to>
    <xdr:pic>
      <xdr:nvPicPr>
        <xdr:cNvPr id="7" name="Imagine 9">
          <a:extLst>
            <a:ext uri="{FF2B5EF4-FFF2-40B4-BE49-F238E27FC236}">
              <a16:creationId xmlns:a16="http://schemas.microsoft.com/office/drawing/2014/main" id="{07E8817C-D949-41EE-84D2-49BCC74EA0E4}"/>
            </a:ext>
          </a:extLst>
        </xdr:cNvPr>
        <xdr:cNvPicPr>
          <a:picLocks noChangeAspect="1"/>
        </xdr:cNvPicPr>
      </xdr:nvPicPr>
      <xdr:blipFill>
        <a:blip xmlns:r="http://schemas.openxmlformats.org/officeDocument/2006/relationships" r:embed="rId6"/>
        <a:stretch>
          <a:fillRect/>
        </a:stretch>
      </xdr:blipFill>
      <xdr:spPr>
        <a:xfrm rot="205107">
          <a:off x="15192377" y="7254876"/>
          <a:ext cx="693228" cy="527049"/>
        </a:xfrm>
        <a:prstGeom prst="rect">
          <a:avLst/>
        </a:prstGeom>
      </xdr:spPr>
    </xdr:pic>
    <xdr:clientData/>
  </xdr:twoCellAnchor>
  <xdr:twoCellAnchor editAs="oneCell">
    <xdr:from>
      <xdr:col>16</xdr:col>
      <xdr:colOff>781051</xdr:colOff>
      <xdr:row>17</xdr:row>
      <xdr:rowOff>25401</xdr:rowOff>
    </xdr:from>
    <xdr:to>
      <xdr:col>18</xdr:col>
      <xdr:colOff>258414</xdr:colOff>
      <xdr:row>20</xdr:row>
      <xdr:rowOff>149226</xdr:rowOff>
    </xdr:to>
    <xdr:pic>
      <xdr:nvPicPr>
        <xdr:cNvPr id="8" name="Imagine 10">
          <a:extLst>
            <a:ext uri="{FF2B5EF4-FFF2-40B4-BE49-F238E27FC236}">
              <a16:creationId xmlns:a16="http://schemas.microsoft.com/office/drawing/2014/main" id="{56E33CAC-3C3C-4035-AF44-36567174E0F0}"/>
            </a:ext>
          </a:extLst>
        </xdr:cNvPr>
        <xdr:cNvPicPr>
          <a:picLocks noChangeAspect="1"/>
        </xdr:cNvPicPr>
      </xdr:nvPicPr>
      <xdr:blipFill>
        <a:blip xmlns:r="http://schemas.openxmlformats.org/officeDocument/2006/relationships" r:embed="rId7"/>
        <a:stretch>
          <a:fillRect/>
        </a:stretch>
      </xdr:blipFill>
      <xdr:spPr>
        <a:xfrm>
          <a:off x="12677776" y="5892801"/>
          <a:ext cx="1077563" cy="723900"/>
        </a:xfrm>
        <a:prstGeom prst="rect">
          <a:avLst/>
        </a:prstGeom>
      </xdr:spPr>
    </xdr:pic>
    <xdr:clientData/>
  </xdr:twoCellAnchor>
  <xdr:twoCellAnchor editAs="oneCell">
    <xdr:from>
      <xdr:col>18</xdr:col>
      <xdr:colOff>475029</xdr:colOff>
      <xdr:row>21</xdr:row>
      <xdr:rowOff>114300</xdr:rowOff>
    </xdr:from>
    <xdr:to>
      <xdr:col>19</xdr:col>
      <xdr:colOff>740790</xdr:colOff>
      <xdr:row>28</xdr:row>
      <xdr:rowOff>124100</xdr:rowOff>
    </xdr:to>
    <xdr:pic>
      <xdr:nvPicPr>
        <xdr:cNvPr id="9" name="Imagine 11">
          <a:extLst>
            <a:ext uri="{FF2B5EF4-FFF2-40B4-BE49-F238E27FC236}">
              <a16:creationId xmlns:a16="http://schemas.microsoft.com/office/drawing/2014/main" id="{13C7D95E-9918-4EAE-B090-CF41CF0C1CC9}"/>
            </a:ext>
          </a:extLst>
        </xdr:cNvPr>
        <xdr:cNvPicPr>
          <a:picLocks noChangeAspect="1"/>
        </xdr:cNvPicPr>
      </xdr:nvPicPr>
      <xdr:blipFill>
        <a:blip xmlns:r="http://schemas.openxmlformats.org/officeDocument/2006/relationships" r:embed="rId8"/>
        <a:stretch>
          <a:fillRect/>
        </a:stretch>
      </xdr:blipFill>
      <xdr:spPr>
        <a:xfrm>
          <a:off x="14000529" y="6819900"/>
          <a:ext cx="903936" cy="1406800"/>
        </a:xfrm>
        <a:prstGeom prst="rect">
          <a:avLst/>
        </a:prstGeom>
      </xdr:spPr>
    </xdr:pic>
    <xdr:clientData/>
  </xdr:twoCellAnchor>
  <xdr:twoCellAnchor editAs="oneCell">
    <xdr:from>
      <xdr:col>12</xdr:col>
      <xdr:colOff>438150</xdr:colOff>
      <xdr:row>17</xdr:row>
      <xdr:rowOff>44450</xdr:rowOff>
    </xdr:from>
    <xdr:to>
      <xdr:col>15</xdr:col>
      <xdr:colOff>190500</xdr:colOff>
      <xdr:row>20</xdr:row>
      <xdr:rowOff>38099</xdr:rowOff>
    </xdr:to>
    <xdr:pic>
      <xdr:nvPicPr>
        <xdr:cNvPr id="10" name="Imagine 12">
          <a:extLst>
            <a:ext uri="{FF2B5EF4-FFF2-40B4-BE49-F238E27FC236}">
              <a16:creationId xmlns:a16="http://schemas.microsoft.com/office/drawing/2014/main" id="{F51A9A05-5D06-410F-BA7B-75F8A5C5139A}"/>
            </a:ext>
          </a:extLst>
        </xdr:cNvPr>
        <xdr:cNvPicPr>
          <a:picLocks noChangeAspect="1"/>
        </xdr:cNvPicPr>
      </xdr:nvPicPr>
      <xdr:blipFill>
        <a:blip xmlns:r="http://schemas.openxmlformats.org/officeDocument/2006/relationships" r:embed="rId9"/>
        <a:stretch>
          <a:fillRect/>
        </a:stretch>
      </xdr:blipFill>
      <xdr:spPr>
        <a:xfrm>
          <a:off x="9420225" y="5911850"/>
          <a:ext cx="1895475" cy="593724"/>
        </a:xfrm>
        <a:prstGeom prst="rect">
          <a:avLst/>
        </a:prstGeom>
      </xdr:spPr>
    </xdr:pic>
    <xdr:clientData/>
  </xdr:twoCellAnchor>
  <xdr:twoCellAnchor editAs="oneCell">
    <xdr:from>
      <xdr:col>13</xdr:col>
      <xdr:colOff>25400</xdr:colOff>
      <xdr:row>22</xdr:row>
      <xdr:rowOff>104774</xdr:rowOff>
    </xdr:from>
    <xdr:to>
      <xdr:col>16</xdr:col>
      <xdr:colOff>12604</xdr:colOff>
      <xdr:row>28</xdr:row>
      <xdr:rowOff>120650</xdr:rowOff>
    </xdr:to>
    <xdr:pic>
      <xdr:nvPicPr>
        <xdr:cNvPr id="11" name="Picture 3" descr="ALU-Foil-Mat - afb. 1">
          <a:extLst>
            <a:ext uri="{FF2B5EF4-FFF2-40B4-BE49-F238E27FC236}">
              <a16:creationId xmlns:a16="http://schemas.microsoft.com/office/drawing/2014/main" id="{59E893EA-F9A1-464A-B53E-4D8643939BD9}"/>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645650" y="6972299"/>
          <a:ext cx="2260504" cy="1219201"/>
        </a:xfrm>
        <a:prstGeom prst="rect">
          <a:avLst/>
        </a:prstGeom>
        <a:noFill/>
      </xdr:spPr>
    </xdr:pic>
    <xdr:clientData/>
  </xdr:twoCellAnchor>
  <xdr:twoCellAnchor editAs="oneCell">
    <xdr:from>
      <xdr:col>7</xdr:col>
      <xdr:colOff>209550</xdr:colOff>
      <xdr:row>255</xdr:row>
      <xdr:rowOff>57150</xdr:rowOff>
    </xdr:from>
    <xdr:to>
      <xdr:col>15</xdr:col>
      <xdr:colOff>106339</xdr:colOff>
      <xdr:row>263</xdr:row>
      <xdr:rowOff>6350</xdr:rowOff>
    </xdr:to>
    <xdr:pic>
      <xdr:nvPicPr>
        <xdr:cNvPr id="12" name="Picture 4" descr="ALU-Foil-Mat - afb. 5">
          <a:extLst>
            <a:ext uri="{FF2B5EF4-FFF2-40B4-BE49-F238E27FC236}">
              <a16:creationId xmlns:a16="http://schemas.microsoft.com/office/drawing/2014/main" id="{66162EF2-9A88-411D-8475-AA2C012234EF}"/>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058150" y="36471225"/>
          <a:ext cx="3198789" cy="1435100"/>
        </a:xfrm>
        <a:prstGeom prst="rect">
          <a:avLst/>
        </a:prstGeom>
        <a:noFill/>
      </xdr:spPr>
    </xdr:pic>
    <xdr:clientData/>
  </xdr:twoCellAnchor>
  <xdr:twoCellAnchor editAs="oneCell">
    <xdr:from>
      <xdr:col>15</xdr:col>
      <xdr:colOff>110228</xdr:colOff>
      <xdr:row>252</xdr:row>
      <xdr:rowOff>0</xdr:rowOff>
    </xdr:from>
    <xdr:to>
      <xdr:col>19</xdr:col>
      <xdr:colOff>76201</xdr:colOff>
      <xdr:row>263</xdr:row>
      <xdr:rowOff>112796</xdr:rowOff>
    </xdr:to>
    <xdr:pic>
      <xdr:nvPicPr>
        <xdr:cNvPr id="13" name="Imagine 15">
          <a:extLst>
            <a:ext uri="{FF2B5EF4-FFF2-40B4-BE49-F238E27FC236}">
              <a16:creationId xmlns:a16="http://schemas.microsoft.com/office/drawing/2014/main" id="{38349C7F-A8C0-4558-A6BC-E05523E5BA0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60828" y="35947350"/>
          <a:ext cx="2979048" cy="2093996"/>
        </a:xfrm>
        <a:prstGeom prst="rect">
          <a:avLst/>
        </a:prstGeom>
      </xdr:spPr>
    </xdr:pic>
    <xdr:clientData/>
  </xdr:twoCellAnchor>
  <xdr:oneCellAnchor>
    <xdr:from>
      <xdr:col>16</xdr:col>
      <xdr:colOff>111125</xdr:colOff>
      <xdr:row>23</xdr:row>
      <xdr:rowOff>38100</xdr:rowOff>
    </xdr:from>
    <xdr:ext cx="1394356" cy="1228726"/>
    <xdr:pic>
      <xdr:nvPicPr>
        <xdr:cNvPr id="14" name="Picture 27" descr="Imagini pentru magnum underfloor heating mat">
          <a:extLst>
            <a:ext uri="{FF2B5EF4-FFF2-40B4-BE49-F238E27FC236}">
              <a16:creationId xmlns:a16="http://schemas.microsoft.com/office/drawing/2014/main" id="{C3764660-138C-457D-9D67-8A834B91C7D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07850" y="7029450"/>
          <a:ext cx="1394356" cy="1228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285749</xdr:colOff>
      <xdr:row>264</xdr:row>
      <xdr:rowOff>47625</xdr:rowOff>
    </xdr:from>
    <xdr:to>
      <xdr:col>14</xdr:col>
      <xdr:colOff>219074</xdr:colOff>
      <xdr:row>284</xdr:row>
      <xdr:rowOff>104938</xdr:rowOff>
    </xdr:to>
    <xdr:pic>
      <xdr:nvPicPr>
        <xdr:cNvPr id="15" name="Imagine 18">
          <a:extLst>
            <a:ext uri="{FF2B5EF4-FFF2-40B4-BE49-F238E27FC236}">
              <a16:creationId xmlns:a16="http://schemas.microsoft.com/office/drawing/2014/main" id="{0CF2A855-627D-462B-9065-8D560DC374E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400924" y="37944425"/>
          <a:ext cx="3136900" cy="2914813"/>
        </a:xfrm>
        <a:prstGeom prst="rect">
          <a:avLst/>
        </a:prstGeom>
      </xdr:spPr>
    </xdr:pic>
    <xdr:clientData/>
  </xdr:twoCellAnchor>
  <xdr:twoCellAnchor editAs="oneCell">
    <xdr:from>
      <xdr:col>21</xdr:col>
      <xdr:colOff>387350</xdr:colOff>
      <xdr:row>15</xdr:row>
      <xdr:rowOff>282575</xdr:rowOff>
    </xdr:from>
    <xdr:to>
      <xdr:col>24</xdr:col>
      <xdr:colOff>301625</xdr:colOff>
      <xdr:row>20</xdr:row>
      <xdr:rowOff>143858</xdr:rowOff>
    </xdr:to>
    <xdr:pic>
      <xdr:nvPicPr>
        <xdr:cNvPr id="16" name="Imagine 20">
          <a:extLst>
            <a:ext uri="{FF2B5EF4-FFF2-40B4-BE49-F238E27FC236}">
              <a16:creationId xmlns:a16="http://schemas.microsoft.com/office/drawing/2014/main" id="{60A72236-13FA-4B20-A60E-DD0CD41E8BBB}"/>
            </a:ext>
          </a:extLst>
        </xdr:cNvPr>
        <xdr:cNvPicPr>
          <a:picLocks noChangeAspect="1"/>
        </xdr:cNvPicPr>
      </xdr:nvPicPr>
      <xdr:blipFill>
        <a:blip xmlns:r="http://schemas.openxmlformats.org/officeDocument/2006/relationships" r:embed="rId15"/>
        <a:stretch>
          <a:fillRect/>
        </a:stretch>
      </xdr:blipFill>
      <xdr:spPr>
        <a:xfrm>
          <a:off x="16160750" y="5464175"/>
          <a:ext cx="1905000" cy="1242408"/>
        </a:xfrm>
        <a:prstGeom prst="rect">
          <a:avLst/>
        </a:prstGeom>
      </xdr:spPr>
    </xdr:pic>
    <xdr:clientData/>
  </xdr:twoCellAnchor>
  <xdr:twoCellAnchor editAs="oneCell">
    <xdr:from>
      <xdr:col>19</xdr:col>
      <xdr:colOff>739775</xdr:colOff>
      <xdr:row>18</xdr:row>
      <xdr:rowOff>66675</xdr:rowOff>
    </xdr:from>
    <xdr:to>
      <xdr:col>22</xdr:col>
      <xdr:colOff>82550</xdr:colOff>
      <xdr:row>22</xdr:row>
      <xdr:rowOff>95250</xdr:rowOff>
    </xdr:to>
    <xdr:pic>
      <xdr:nvPicPr>
        <xdr:cNvPr id="17" name="Imagine 21">
          <a:extLst>
            <a:ext uri="{FF2B5EF4-FFF2-40B4-BE49-F238E27FC236}">
              <a16:creationId xmlns:a16="http://schemas.microsoft.com/office/drawing/2014/main" id="{5C4D8A95-E5D2-4B24-99C7-31E4C6F9ECBF}"/>
            </a:ext>
          </a:extLst>
        </xdr:cNvPr>
        <xdr:cNvPicPr>
          <a:picLocks noChangeAspect="1"/>
        </xdr:cNvPicPr>
      </xdr:nvPicPr>
      <xdr:blipFill>
        <a:blip xmlns:r="http://schemas.openxmlformats.org/officeDocument/2006/relationships" r:embed="rId16"/>
        <a:stretch>
          <a:fillRect/>
        </a:stretch>
      </xdr:blipFill>
      <xdr:spPr>
        <a:xfrm>
          <a:off x="14874875" y="6057900"/>
          <a:ext cx="1619250" cy="828675"/>
        </a:xfrm>
        <a:prstGeom prst="rect">
          <a:avLst/>
        </a:prstGeom>
      </xdr:spPr>
    </xdr:pic>
    <xdr:clientData/>
  </xdr:twoCellAnchor>
  <xdr:twoCellAnchor editAs="oneCell">
    <xdr:from>
      <xdr:col>12</xdr:col>
      <xdr:colOff>47625</xdr:colOff>
      <xdr:row>10</xdr:row>
      <xdr:rowOff>295275</xdr:rowOff>
    </xdr:from>
    <xdr:to>
      <xdr:col>13</xdr:col>
      <xdr:colOff>200024</xdr:colOff>
      <xdr:row>12</xdr:row>
      <xdr:rowOff>666749</xdr:rowOff>
    </xdr:to>
    <xdr:pic>
      <xdr:nvPicPr>
        <xdr:cNvPr id="18" name="Imagine 22">
          <a:extLst>
            <a:ext uri="{FF2B5EF4-FFF2-40B4-BE49-F238E27FC236}">
              <a16:creationId xmlns:a16="http://schemas.microsoft.com/office/drawing/2014/main" id="{99698AB2-43F3-4381-8207-92D4A87ECC97}"/>
            </a:ext>
          </a:extLst>
        </xdr:cNvPr>
        <xdr:cNvPicPr>
          <a:picLocks noChangeAspect="1"/>
        </xdr:cNvPicPr>
      </xdr:nvPicPr>
      <xdr:blipFill>
        <a:blip xmlns:r="http://schemas.openxmlformats.org/officeDocument/2006/relationships" r:embed="rId17"/>
        <a:stretch>
          <a:fillRect/>
        </a:stretch>
      </xdr:blipFill>
      <xdr:spPr>
        <a:xfrm>
          <a:off x="9055100" y="3463925"/>
          <a:ext cx="796924" cy="812799"/>
        </a:xfrm>
        <a:prstGeom prst="rect">
          <a:avLst/>
        </a:prstGeom>
      </xdr:spPr>
    </xdr:pic>
    <xdr:clientData/>
  </xdr:twoCellAnchor>
  <xdr:twoCellAnchor editAs="oneCell">
    <xdr:from>
      <xdr:col>13</xdr:col>
      <xdr:colOff>352425</xdr:colOff>
      <xdr:row>85</xdr:row>
      <xdr:rowOff>28575</xdr:rowOff>
    </xdr:from>
    <xdr:to>
      <xdr:col>15</xdr:col>
      <xdr:colOff>285750</xdr:colOff>
      <xdr:row>88</xdr:row>
      <xdr:rowOff>152400</xdr:rowOff>
    </xdr:to>
    <xdr:pic>
      <xdr:nvPicPr>
        <xdr:cNvPr id="19" name="Picture 24">
          <a:extLst>
            <a:ext uri="{FF2B5EF4-FFF2-40B4-BE49-F238E27FC236}">
              <a16:creationId xmlns:a16="http://schemas.microsoft.com/office/drawing/2014/main" id="{BAB4E258-EB7D-4F6D-AE5F-0474B8C75168}"/>
            </a:ext>
          </a:extLst>
        </xdr:cNvPr>
        <xdr:cNvPicPr>
          <a:picLocks noChangeAspect="1" noChangeArrowheads="1"/>
        </xdr:cNvPicPr>
      </xdr:nvPicPr>
      <xdr:blipFill>
        <a:blip xmlns:r="http://schemas.openxmlformats.org/officeDocument/2006/relationships" r:embed="rId18"/>
        <a:srcRect/>
        <a:stretch>
          <a:fillRect/>
        </a:stretch>
      </xdr:blipFill>
      <xdr:spPr bwMode="auto">
        <a:xfrm>
          <a:off x="9972675" y="19497675"/>
          <a:ext cx="1438275" cy="723900"/>
        </a:xfrm>
        <a:prstGeom prst="rect">
          <a:avLst/>
        </a:prstGeom>
        <a:noFill/>
      </xdr:spPr>
    </xdr:pic>
    <xdr:clientData/>
  </xdr:twoCellAnchor>
  <xdr:twoCellAnchor editAs="oneCell">
    <xdr:from>
      <xdr:col>14</xdr:col>
      <xdr:colOff>219075</xdr:colOff>
      <xdr:row>89</xdr:row>
      <xdr:rowOff>6350</xdr:rowOff>
    </xdr:from>
    <xdr:to>
      <xdr:col>16</xdr:col>
      <xdr:colOff>158750</xdr:colOff>
      <xdr:row>93</xdr:row>
      <xdr:rowOff>15875</xdr:rowOff>
    </xdr:to>
    <xdr:pic>
      <xdr:nvPicPr>
        <xdr:cNvPr id="20" name="Picture 5">
          <a:extLst>
            <a:ext uri="{FF2B5EF4-FFF2-40B4-BE49-F238E27FC236}">
              <a16:creationId xmlns:a16="http://schemas.microsoft.com/office/drawing/2014/main" id="{5DA260EC-5462-413A-A75C-AB927384158B}"/>
            </a:ext>
          </a:extLst>
        </xdr:cNvPr>
        <xdr:cNvPicPr>
          <a:picLocks noChangeAspect="1" noChangeArrowheads="1"/>
        </xdr:cNvPicPr>
      </xdr:nvPicPr>
      <xdr:blipFill>
        <a:blip xmlns:r="http://schemas.openxmlformats.org/officeDocument/2006/relationships" r:embed="rId19"/>
        <a:srcRect/>
        <a:stretch>
          <a:fillRect/>
        </a:stretch>
      </xdr:blipFill>
      <xdr:spPr bwMode="auto">
        <a:xfrm>
          <a:off x="10506075" y="20275550"/>
          <a:ext cx="1549400" cy="809625"/>
        </a:xfrm>
        <a:prstGeom prst="rect">
          <a:avLst/>
        </a:prstGeom>
        <a:noFill/>
      </xdr:spPr>
    </xdr:pic>
    <xdr:clientData/>
  </xdr:twoCellAnchor>
  <xdr:twoCellAnchor editAs="oneCell">
    <xdr:from>
      <xdr:col>13</xdr:col>
      <xdr:colOff>0</xdr:colOff>
      <xdr:row>29</xdr:row>
      <xdr:rowOff>0</xdr:rowOff>
    </xdr:from>
    <xdr:to>
      <xdr:col>14</xdr:col>
      <xdr:colOff>771722</xdr:colOff>
      <xdr:row>32</xdr:row>
      <xdr:rowOff>25488</xdr:rowOff>
    </xdr:to>
    <xdr:pic>
      <xdr:nvPicPr>
        <xdr:cNvPr id="21" name="Imagine 25">
          <a:extLst>
            <a:ext uri="{FF2B5EF4-FFF2-40B4-BE49-F238E27FC236}">
              <a16:creationId xmlns:a16="http://schemas.microsoft.com/office/drawing/2014/main" id="{9D73AA81-C6BB-4F62-8399-BEA2DFF2F37C}"/>
            </a:ext>
          </a:extLst>
        </xdr:cNvPr>
        <xdr:cNvPicPr>
          <a:picLocks noChangeAspect="1"/>
        </xdr:cNvPicPr>
      </xdr:nvPicPr>
      <xdr:blipFill>
        <a:blip xmlns:r="http://schemas.openxmlformats.org/officeDocument/2006/relationships" r:embed="rId20"/>
        <a:stretch>
          <a:fillRect/>
        </a:stretch>
      </xdr:blipFill>
      <xdr:spPr>
        <a:xfrm>
          <a:off x="9648825" y="8534400"/>
          <a:ext cx="1435297" cy="628738"/>
        </a:xfrm>
        <a:prstGeom prst="rect">
          <a:avLst/>
        </a:prstGeom>
      </xdr:spPr>
    </xdr:pic>
    <xdr:clientData/>
  </xdr:twoCellAnchor>
  <xdr:twoCellAnchor editAs="oneCell">
    <xdr:from>
      <xdr:col>15</xdr:col>
      <xdr:colOff>666751</xdr:colOff>
      <xdr:row>28</xdr:row>
      <xdr:rowOff>152400</xdr:rowOff>
    </xdr:from>
    <xdr:to>
      <xdr:col>17</xdr:col>
      <xdr:colOff>482601</xdr:colOff>
      <xdr:row>32</xdr:row>
      <xdr:rowOff>143415</xdr:rowOff>
    </xdr:to>
    <xdr:pic>
      <xdr:nvPicPr>
        <xdr:cNvPr id="22" name="Imagine 26">
          <a:extLst>
            <a:ext uri="{FF2B5EF4-FFF2-40B4-BE49-F238E27FC236}">
              <a16:creationId xmlns:a16="http://schemas.microsoft.com/office/drawing/2014/main" id="{27EEF712-EBD4-4356-AB09-EC7C4BEBAB3E}"/>
            </a:ext>
          </a:extLst>
        </xdr:cNvPr>
        <xdr:cNvPicPr>
          <a:picLocks noChangeAspect="1"/>
        </xdr:cNvPicPr>
      </xdr:nvPicPr>
      <xdr:blipFill>
        <a:blip xmlns:r="http://schemas.openxmlformats.org/officeDocument/2006/relationships" r:embed="rId21"/>
        <a:stretch>
          <a:fillRect/>
        </a:stretch>
      </xdr:blipFill>
      <xdr:spPr>
        <a:xfrm rot="21392666">
          <a:off x="11791951" y="8143875"/>
          <a:ext cx="1625600" cy="791115"/>
        </a:xfrm>
        <a:prstGeom prst="rect">
          <a:avLst/>
        </a:prstGeom>
      </xdr:spPr>
    </xdr:pic>
    <xdr:clientData/>
  </xdr:twoCellAnchor>
  <xdr:twoCellAnchor editAs="oneCell">
    <xdr:from>
      <xdr:col>13</xdr:col>
      <xdr:colOff>542925</xdr:colOff>
      <xdr:row>10</xdr:row>
      <xdr:rowOff>314325</xdr:rowOff>
    </xdr:from>
    <xdr:to>
      <xdr:col>14</xdr:col>
      <xdr:colOff>781172</xdr:colOff>
      <xdr:row>12</xdr:row>
      <xdr:rowOff>714495</xdr:rowOff>
    </xdr:to>
    <xdr:pic>
      <xdr:nvPicPr>
        <xdr:cNvPr id="24" name="Imagine 30">
          <a:extLst>
            <a:ext uri="{FF2B5EF4-FFF2-40B4-BE49-F238E27FC236}">
              <a16:creationId xmlns:a16="http://schemas.microsoft.com/office/drawing/2014/main" id="{A3FE3D7A-0C4F-4CC6-BBE1-D190AE483AAF}"/>
            </a:ext>
          </a:extLst>
        </xdr:cNvPr>
        <xdr:cNvPicPr>
          <a:picLocks noChangeAspect="1"/>
        </xdr:cNvPicPr>
      </xdr:nvPicPr>
      <xdr:blipFill>
        <a:blip xmlns:r="http://schemas.openxmlformats.org/officeDocument/2006/relationships" r:embed="rId22"/>
        <a:stretch>
          <a:fillRect/>
        </a:stretch>
      </xdr:blipFill>
      <xdr:spPr>
        <a:xfrm>
          <a:off x="10188575" y="3482975"/>
          <a:ext cx="908172" cy="857370"/>
        </a:xfrm>
        <a:prstGeom prst="rect">
          <a:avLst/>
        </a:prstGeom>
      </xdr:spPr>
    </xdr:pic>
    <xdr:clientData/>
  </xdr:twoCellAnchor>
  <xdr:twoCellAnchor editAs="oneCell">
    <xdr:from>
      <xdr:col>15</xdr:col>
      <xdr:colOff>209550</xdr:colOff>
      <xdr:row>11</xdr:row>
      <xdr:rowOff>9525</xdr:rowOff>
    </xdr:from>
    <xdr:to>
      <xdr:col>16</xdr:col>
      <xdr:colOff>314442</xdr:colOff>
      <xdr:row>12</xdr:row>
      <xdr:rowOff>733546</xdr:rowOff>
    </xdr:to>
    <xdr:pic>
      <xdr:nvPicPr>
        <xdr:cNvPr id="25" name="Imagine 32">
          <a:extLst>
            <a:ext uri="{FF2B5EF4-FFF2-40B4-BE49-F238E27FC236}">
              <a16:creationId xmlns:a16="http://schemas.microsoft.com/office/drawing/2014/main" id="{40C3BE66-5596-4956-8DB3-4AA9E2F045EA}"/>
            </a:ext>
          </a:extLst>
        </xdr:cNvPr>
        <xdr:cNvPicPr>
          <a:picLocks noChangeAspect="1"/>
        </xdr:cNvPicPr>
      </xdr:nvPicPr>
      <xdr:blipFill>
        <a:blip xmlns:r="http://schemas.openxmlformats.org/officeDocument/2006/relationships" r:embed="rId23"/>
        <a:stretch>
          <a:fillRect/>
        </a:stretch>
      </xdr:blipFill>
      <xdr:spPr>
        <a:xfrm>
          <a:off x="11363325" y="3530600"/>
          <a:ext cx="873242" cy="866896"/>
        </a:xfrm>
        <a:prstGeom prst="rect">
          <a:avLst/>
        </a:prstGeom>
      </xdr:spPr>
    </xdr:pic>
    <xdr:clientData/>
  </xdr:twoCellAnchor>
  <xdr:twoCellAnchor editAs="oneCell">
    <xdr:from>
      <xdr:col>19</xdr:col>
      <xdr:colOff>0</xdr:colOff>
      <xdr:row>30</xdr:row>
      <xdr:rowOff>0</xdr:rowOff>
    </xdr:from>
    <xdr:to>
      <xdr:col>20</xdr:col>
      <xdr:colOff>57149</xdr:colOff>
      <xdr:row>34</xdr:row>
      <xdr:rowOff>101974</xdr:rowOff>
    </xdr:to>
    <xdr:pic>
      <xdr:nvPicPr>
        <xdr:cNvPr id="26" name="Picture 11" descr=" ">
          <a:extLst>
            <a:ext uri="{FF2B5EF4-FFF2-40B4-BE49-F238E27FC236}">
              <a16:creationId xmlns:a16="http://schemas.microsoft.com/office/drawing/2014/main" id="{66B534C7-CE35-4C86-9E33-250A6EE3990F}"/>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14163675" y="8763000"/>
          <a:ext cx="923924" cy="905249"/>
        </a:xfrm>
        <a:prstGeom prst="rect">
          <a:avLst/>
        </a:prstGeom>
        <a:noFill/>
      </xdr:spPr>
    </xdr:pic>
    <xdr:clientData/>
  </xdr:twoCellAnchor>
  <xdr:twoCellAnchor editAs="oneCell">
    <xdr:from>
      <xdr:col>13</xdr:col>
      <xdr:colOff>0</xdr:colOff>
      <xdr:row>33</xdr:row>
      <xdr:rowOff>0</xdr:rowOff>
    </xdr:from>
    <xdr:to>
      <xdr:col>14</xdr:col>
      <xdr:colOff>215900</xdr:colOff>
      <xdr:row>35</xdr:row>
      <xdr:rowOff>84605</xdr:rowOff>
    </xdr:to>
    <xdr:pic>
      <xdr:nvPicPr>
        <xdr:cNvPr id="27" name="Picture 33">
          <a:extLst>
            <a:ext uri="{FF2B5EF4-FFF2-40B4-BE49-F238E27FC236}">
              <a16:creationId xmlns:a16="http://schemas.microsoft.com/office/drawing/2014/main" id="{B7011E3F-E67E-4DA2-821A-5E0500DC8F2D}"/>
            </a:ext>
          </a:extLst>
        </xdr:cNvPr>
        <xdr:cNvPicPr>
          <a:picLocks noChangeAspect="1" noChangeArrowheads="1"/>
        </xdr:cNvPicPr>
      </xdr:nvPicPr>
      <xdr:blipFill>
        <a:blip xmlns:r="http://schemas.openxmlformats.org/officeDocument/2006/relationships" r:embed="rId25"/>
        <a:srcRect/>
        <a:stretch>
          <a:fillRect/>
        </a:stretch>
      </xdr:blipFill>
      <xdr:spPr bwMode="auto">
        <a:xfrm>
          <a:off x="9648825" y="9448800"/>
          <a:ext cx="885825" cy="487830"/>
        </a:xfrm>
        <a:prstGeom prst="rect">
          <a:avLst/>
        </a:prstGeom>
        <a:noFill/>
      </xdr:spPr>
    </xdr:pic>
    <xdr:clientData/>
  </xdr:twoCellAnchor>
  <xdr:twoCellAnchor editAs="oneCell">
    <xdr:from>
      <xdr:col>20</xdr:col>
      <xdr:colOff>590550</xdr:colOff>
      <xdr:row>29</xdr:row>
      <xdr:rowOff>123825</xdr:rowOff>
    </xdr:from>
    <xdr:to>
      <xdr:col>23</xdr:col>
      <xdr:colOff>238125</xdr:colOff>
      <xdr:row>33</xdr:row>
      <xdr:rowOff>73959</xdr:rowOff>
    </xdr:to>
    <xdr:pic>
      <xdr:nvPicPr>
        <xdr:cNvPr id="28" name="Picture 18">
          <a:extLst>
            <a:ext uri="{FF2B5EF4-FFF2-40B4-BE49-F238E27FC236}">
              <a16:creationId xmlns:a16="http://schemas.microsoft.com/office/drawing/2014/main" id="{322706E6-CD5D-4F6C-A26D-241E17FD85A0}"/>
            </a:ext>
          </a:extLst>
        </xdr:cNvPr>
        <xdr:cNvPicPr>
          <a:picLocks noChangeAspect="1" noChangeArrowheads="1"/>
        </xdr:cNvPicPr>
      </xdr:nvPicPr>
      <xdr:blipFill>
        <a:blip xmlns:r="http://schemas.openxmlformats.org/officeDocument/2006/relationships" r:embed="rId26"/>
        <a:srcRect/>
        <a:stretch>
          <a:fillRect/>
        </a:stretch>
      </xdr:blipFill>
      <xdr:spPr bwMode="auto">
        <a:xfrm>
          <a:off x="15621000" y="8315325"/>
          <a:ext cx="1733550" cy="750234"/>
        </a:xfrm>
        <a:prstGeom prst="rect">
          <a:avLst/>
        </a:prstGeom>
        <a:noFill/>
      </xdr:spPr>
    </xdr:pic>
    <xdr:clientData/>
  </xdr:twoCellAnchor>
  <xdr:twoCellAnchor editAs="oneCell">
    <xdr:from>
      <xdr:col>16</xdr:col>
      <xdr:colOff>0</xdr:colOff>
      <xdr:row>33</xdr:row>
      <xdr:rowOff>0</xdr:rowOff>
    </xdr:from>
    <xdr:to>
      <xdr:col>16</xdr:col>
      <xdr:colOff>965199</xdr:colOff>
      <xdr:row>36</xdr:row>
      <xdr:rowOff>78023</xdr:rowOff>
    </xdr:to>
    <xdr:pic>
      <xdr:nvPicPr>
        <xdr:cNvPr id="30" name="Picture 2" descr="spacer">
          <a:extLst>
            <a:ext uri="{FF2B5EF4-FFF2-40B4-BE49-F238E27FC236}">
              <a16:creationId xmlns:a16="http://schemas.microsoft.com/office/drawing/2014/main" id="{54CC76A9-13AE-4747-9B3C-6A86EE55DE47}"/>
            </a:ext>
          </a:extLst>
        </xdr:cNvPr>
        <xdr:cNvPicPr>
          <a:picLocks noChangeAspect="1" noChangeArrowheads="1"/>
        </xdr:cNvPicPr>
      </xdr:nvPicPr>
      <xdr:blipFill>
        <a:blip xmlns:r="http://schemas.openxmlformats.org/officeDocument/2006/relationships" r:embed="rId27"/>
        <a:srcRect/>
        <a:stretch>
          <a:fillRect/>
        </a:stretch>
      </xdr:blipFill>
      <xdr:spPr bwMode="auto">
        <a:xfrm>
          <a:off x="11925300" y="9448800"/>
          <a:ext cx="962024" cy="678098"/>
        </a:xfrm>
        <a:prstGeom prst="rect">
          <a:avLst/>
        </a:prstGeom>
        <a:noFill/>
      </xdr:spPr>
    </xdr:pic>
    <xdr:clientData/>
  </xdr:twoCellAnchor>
  <xdr:twoCellAnchor editAs="oneCell">
    <xdr:from>
      <xdr:col>13</xdr:col>
      <xdr:colOff>0</xdr:colOff>
      <xdr:row>37</xdr:row>
      <xdr:rowOff>0</xdr:rowOff>
    </xdr:from>
    <xdr:to>
      <xdr:col>15</xdr:col>
      <xdr:colOff>114300</xdr:colOff>
      <xdr:row>40</xdr:row>
      <xdr:rowOff>188259</xdr:rowOff>
    </xdr:to>
    <xdr:pic>
      <xdr:nvPicPr>
        <xdr:cNvPr id="31" name="Picture 19" descr="MAGNUM Heatboard (E)">
          <a:extLst>
            <a:ext uri="{FF2B5EF4-FFF2-40B4-BE49-F238E27FC236}">
              <a16:creationId xmlns:a16="http://schemas.microsoft.com/office/drawing/2014/main" id="{CF53C858-A2B7-4E22-9E54-347901712CDC}"/>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648825" y="10363200"/>
          <a:ext cx="1619250" cy="794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36</xdr:row>
      <xdr:rowOff>0</xdr:rowOff>
    </xdr:from>
    <xdr:to>
      <xdr:col>21</xdr:col>
      <xdr:colOff>461</xdr:colOff>
      <xdr:row>40</xdr:row>
      <xdr:rowOff>124758</xdr:rowOff>
    </xdr:to>
    <xdr:pic>
      <xdr:nvPicPr>
        <xdr:cNvPr id="32" name="Picture 20" descr="MAGNUM Heatboard (E)">
          <a:extLst>
            <a:ext uri="{FF2B5EF4-FFF2-40B4-BE49-F238E27FC236}">
              <a16:creationId xmlns:a16="http://schemas.microsoft.com/office/drawing/2014/main" id="{176C982B-19D4-4005-A2A9-780C9F6FCBA8}"/>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4163675" y="10134600"/>
          <a:ext cx="1632411" cy="921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400050</xdr:colOff>
      <xdr:row>24</xdr:row>
      <xdr:rowOff>114300</xdr:rowOff>
    </xdr:from>
    <xdr:to>
      <xdr:col>23</xdr:col>
      <xdr:colOff>506730</xdr:colOff>
      <xdr:row>29</xdr:row>
      <xdr:rowOff>133163</xdr:rowOff>
    </xdr:to>
    <xdr:pic>
      <xdr:nvPicPr>
        <xdr:cNvPr id="33" name="Picture 4" descr="MAGNUM Cablu degivrare exterior">
          <a:extLst>
            <a:ext uri="{FF2B5EF4-FFF2-40B4-BE49-F238E27FC236}">
              <a16:creationId xmlns:a16="http://schemas.microsoft.com/office/drawing/2014/main" id="{7401298B-9BC7-4038-96B5-2181758CD45D}"/>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16202025" y="7305675"/>
          <a:ext cx="1421130" cy="1018988"/>
        </a:xfrm>
        <a:prstGeom prst="rect">
          <a:avLst/>
        </a:prstGeom>
        <a:noFill/>
      </xdr:spPr>
    </xdr:pic>
    <xdr:clientData/>
  </xdr:twoCellAnchor>
  <xdr:twoCellAnchor editAs="oneCell">
    <xdr:from>
      <xdr:col>22</xdr:col>
      <xdr:colOff>0</xdr:colOff>
      <xdr:row>33</xdr:row>
      <xdr:rowOff>0</xdr:rowOff>
    </xdr:from>
    <xdr:to>
      <xdr:col>24</xdr:col>
      <xdr:colOff>374649</xdr:colOff>
      <xdr:row>37</xdr:row>
      <xdr:rowOff>95548</xdr:rowOff>
    </xdr:to>
    <xdr:pic>
      <xdr:nvPicPr>
        <xdr:cNvPr id="34" name="Picture 21">
          <a:extLst>
            <a:ext uri="{FF2B5EF4-FFF2-40B4-BE49-F238E27FC236}">
              <a16:creationId xmlns:a16="http://schemas.microsoft.com/office/drawing/2014/main" id="{C99565F9-42C0-4BBE-9970-36D4C2F0B8AD}"/>
            </a:ext>
          </a:extLst>
        </xdr:cNvPr>
        <xdr:cNvPicPr>
          <a:picLocks noChangeAspect="1" noChangeArrowheads="1"/>
        </xdr:cNvPicPr>
      </xdr:nvPicPr>
      <xdr:blipFill>
        <a:blip xmlns:r="http://schemas.openxmlformats.org/officeDocument/2006/relationships" r:embed="rId31"/>
        <a:srcRect/>
        <a:stretch>
          <a:fillRect/>
        </a:stretch>
      </xdr:blipFill>
      <xdr:spPr bwMode="auto">
        <a:xfrm>
          <a:off x="16440150" y="9448800"/>
          <a:ext cx="1724024" cy="895648"/>
        </a:xfrm>
        <a:prstGeom prst="rect">
          <a:avLst/>
        </a:prstGeom>
        <a:noFill/>
      </xdr:spPr>
    </xdr:pic>
    <xdr:clientData/>
  </xdr:twoCellAnchor>
  <xdr:twoCellAnchor editAs="oneCell">
    <xdr:from>
      <xdr:col>16</xdr:col>
      <xdr:colOff>0</xdr:colOff>
      <xdr:row>38</xdr:row>
      <xdr:rowOff>0</xdr:rowOff>
    </xdr:from>
    <xdr:to>
      <xdr:col>18</xdr:col>
      <xdr:colOff>171451</xdr:colOff>
      <xdr:row>45</xdr:row>
      <xdr:rowOff>124012</xdr:rowOff>
    </xdr:to>
    <xdr:pic>
      <xdr:nvPicPr>
        <xdr:cNvPr id="35" name="Picture 3">
          <a:extLst>
            <a:ext uri="{FF2B5EF4-FFF2-40B4-BE49-F238E27FC236}">
              <a16:creationId xmlns:a16="http://schemas.microsoft.com/office/drawing/2014/main" id="{74DB681B-0BF0-4D0E-A565-BE971273A4FE}"/>
            </a:ext>
          </a:extLst>
        </xdr:cNvPr>
        <xdr:cNvPicPr>
          <a:picLocks noChangeAspect="1"/>
        </xdr:cNvPicPr>
      </xdr:nvPicPr>
      <xdr:blipFill>
        <a:blip xmlns:r="http://schemas.openxmlformats.org/officeDocument/2006/relationships" r:embed="rId32" cstate="print"/>
        <a:stretch>
          <a:fillRect/>
        </a:stretch>
      </xdr:blipFill>
      <xdr:spPr>
        <a:xfrm>
          <a:off x="11925300" y="10591800"/>
          <a:ext cx="1771651" cy="1521012"/>
        </a:xfrm>
        <a:prstGeom prst="rect">
          <a:avLst/>
        </a:prstGeom>
      </xdr:spPr>
    </xdr:pic>
    <xdr:clientData/>
  </xdr:twoCellAnchor>
  <xdr:twoCellAnchor editAs="oneCell">
    <xdr:from>
      <xdr:col>14</xdr:col>
      <xdr:colOff>171450</xdr:colOff>
      <xdr:row>39</xdr:row>
      <xdr:rowOff>142875</xdr:rowOff>
    </xdr:from>
    <xdr:to>
      <xdr:col>16</xdr:col>
      <xdr:colOff>178243</xdr:colOff>
      <xdr:row>43</xdr:row>
      <xdr:rowOff>8391</xdr:rowOff>
    </xdr:to>
    <xdr:pic>
      <xdr:nvPicPr>
        <xdr:cNvPr id="36" name="Picture 12">
          <a:extLst>
            <a:ext uri="{FF2B5EF4-FFF2-40B4-BE49-F238E27FC236}">
              <a16:creationId xmlns:a16="http://schemas.microsoft.com/office/drawing/2014/main" id="{EA1B51F3-D67B-4CBC-9C6F-5F55D14DCA0A}"/>
            </a:ext>
          </a:extLst>
        </xdr:cNvPr>
        <xdr:cNvPicPr>
          <a:picLocks noChangeAspect="1" noChangeArrowheads="1"/>
        </xdr:cNvPicPr>
      </xdr:nvPicPr>
      <xdr:blipFill>
        <a:blip xmlns:r="http://schemas.openxmlformats.org/officeDocument/2006/relationships" r:embed="rId33"/>
        <a:srcRect/>
        <a:stretch>
          <a:fillRect/>
        </a:stretch>
      </xdr:blipFill>
      <xdr:spPr bwMode="auto">
        <a:xfrm>
          <a:off x="10458450" y="10410825"/>
          <a:ext cx="1616518" cy="665616"/>
        </a:xfrm>
        <a:prstGeom prst="rect">
          <a:avLst/>
        </a:prstGeom>
        <a:noFill/>
      </xdr:spPr>
    </xdr:pic>
    <xdr:clientData/>
  </xdr:twoCellAnchor>
  <xdr:twoCellAnchor editAs="oneCell">
    <xdr:from>
      <xdr:col>18</xdr:col>
      <xdr:colOff>485774</xdr:colOff>
      <xdr:row>41</xdr:row>
      <xdr:rowOff>38101</xdr:rowOff>
    </xdr:from>
    <xdr:to>
      <xdr:col>20</xdr:col>
      <xdr:colOff>255608</xdr:colOff>
      <xdr:row>44</xdr:row>
      <xdr:rowOff>47086</xdr:rowOff>
    </xdr:to>
    <xdr:pic>
      <xdr:nvPicPr>
        <xdr:cNvPr id="39" name="Imagine 11">
          <a:extLst>
            <a:ext uri="{FF2B5EF4-FFF2-40B4-BE49-F238E27FC236}">
              <a16:creationId xmlns:a16="http://schemas.microsoft.com/office/drawing/2014/main" id="{1FCB1466-5D56-433A-822B-622B20CFB8CF}"/>
            </a:ext>
          </a:extLst>
        </xdr:cNvPr>
        <xdr:cNvPicPr>
          <a:picLocks noChangeAspect="1"/>
        </xdr:cNvPicPr>
      </xdr:nvPicPr>
      <xdr:blipFill>
        <a:blip xmlns:r="http://schemas.openxmlformats.org/officeDocument/2006/relationships" r:embed="rId34"/>
        <a:stretch>
          <a:fillRect/>
        </a:stretch>
      </xdr:blipFill>
      <xdr:spPr>
        <a:xfrm rot="305766">
          <a:off x="14011274" y="10629901"/>
          <a:ext cx="1274784" cy="609060"/>
        </a:xfrm>
        <a:prstGeom prst="rect">
          <a:avLst/>
        </a:prstGeom>
      </xdr:spPr>
    </xdr:pic>
    <xdr:clientData/>
  </xdr:twoCellAnchor>
  <xdr:twoCellAnchor editAs="oneCell">
    <xdr:from>
      <xdr:col>18</xdr:col>
      <xdr:colOff>238125</xdr:colOff>
      <xdr:row>11</xdr:row>
      <xdr:rowOff>123825</xdr:rowOff>
    </xdr:from>
    <xdr:to>
      <xdr:col>19</xdr:col>
      <xdr:colOff>711200</xdr:colOff>
      <xdr:row>12</xdr:row>
      <xdr:rowOff>788449</xdr:rowOff>
    </xdr:to>
    <xdr:pic>
      <xdr:nvPicPr>
        <xdr:cNvPr id="40" name="Imagine 8">
          <a:extLst>
            <a:ext uri="{FF2B5EF4-FFF2-40B4-BE49-F238E27FC236}">
              <a16:creationId xmlns:a16="http://schemas.microsoft.com/office/drawing/2014/main" id="{BA4043EC-47A7-4F34-BE57-E8E0B92DB3E8}"/>
            </a:ext>
          </a:extLst>
        </xdr:cNvPr>
        <xdr:cNvPicPr>
          <a:picLocks noChangeAspect="1"/>
        </xdr:cNvPicPr>
      </xdr:nvPicPr>
      <xdr:blipFill>
        <a:blip xmlns:r="http://schemas.openxmlformats.org/officeDocument/2006/relationships" r:embed="rId35"/>
        <a:stretch>
          <a:fillRect/>
        </a:stretch>
      </xdr:blipFill>
      <xdr:spPr>
        <a:xfrm>
          <a:off x="13763625" y="3648075"/>
          <a:ext cx="1111250" cy="807499"/>
        </a:xfrm>
        <a:prstGeom prst="rect">
          <a:avLst/>
        </a:prstGeom>
      </xdr:spPr>
    </xdr:pic>
    <xdr:clientData/>
  </xdr:twoCellAnchor>
  <xdr:twoCellAnchor editAs="oneCell">
    <xdr:from>
      <xdr:col>20</xdr:col>
      <xdr:colOff>0</xdr:colOff>
      <xdr:row>10</xdr:row>
      <xdr:rowOff>295275</xdr:rowOff>
    </xdr:from>
    <xdr:to>
      <xdr:col>21</xdr:col>
      <xdr:colOff>431384</xdr:colOff>
      <xdr:row>13</xdr:row>
      <xdr:rowOff>58230</xdr:rowOff>
    </xdr:to>
    <xdr:pic>
      <xdr:nvPicPr>
        <xdr:cNvPr id="41" name="Picture 40">
          <a:extLst>
            <a:ext uri="{FF2B5EF4-FFF2-40B4-BE49-F238E27FC236}">
              <a16:creationId xmlns:a16="http://schemas.microsoft.com/office/drawing/2014/main" id="{F247CF94-6E3F-42ED-8BF0-4259307806D5}"/>
            </a:ext>
          </a:extLst>
        </xdr:cNvPr>
        <xdr:cNvPicPr>
          <a:picLocks noChangeAspect="1"/>
        </xdr:cNvPicPr>
      </xdr:nvPicPr>
      <xdr:blipFill>
        <a:blip xmlns:r="http://schemas.openxmlformats.org/officeDocument/2006/relationships" r:embed="rId36"/>
        <a:stretch>
          <a:fillRect/>
        </a:stretch>
      </xdr:blipFill>
      <xdr:spPr>
        <a:xfrm>
          <a:off x="15030450" y="3467100"/>
          <a:ext cx="1202909" cy="1220280"/>
        </a:xfrm>
        <a:prstGeom prst="rect">
          <a:avLst/>
        </a:prstGeom>
      </xdr:spPr>
    </xdr:pic>
    <xdr:clientData/>
  </xdr:twoCellAnchor>
  <xdr:twoCellAnchor editAs="oneCell">
    <xdr:from>
      <xdr:col>21</xdr:col>
      <xdr:colOff>428625</xdr:colOff>
      <xdr:row>11</xdr:row>
      <xdr:rowOff>63500</xdr:rowOff>
    </xdr:from>
    <xdr:to>
      <xdr:col>25</xdr:col>
      <xdr:colOff>94488</xdr:colOff>
      <xdr:row>12</xdr:row>
      <xdr:rowOff>874590</xdr:rowOff>
    </xdr:to>
    <xdr:pic>
      <xdr:nvPicPr>
        <xdr:cNvPr id="42" name="Imagine 4">
          <a:extLst>
            <a:ext uri="{FF2B5EF4-FFF2-40B4-BE49-F238E27FC236}">
              <a16:creationId xmlns:a16="http://schemas.microsoft.com/office/drawing/2014/main" id="{0D800388-82C9-4F64-A5AA-1747ECB459AE}"/>
            </a:ext>
          </a:extLst>
        </xdr:cNvPr>
        <xdr:cNvPicPr>
          <a:picLocks noChangeAspect="1"/>
        </xdr:cNvPicPr>
      </xdr:nvPicPr>
      <xdr:blipFill>
        <a:blip xmlns:r="http://schemas.openxmlformats.org/officeDocument/2006/relationships" r:embed="rId37"/>
        <a:stretch>
          <a:fillRect/>
        </a:stretch>
      </xdr:blipFill>
      <xdr:spPr>
        <a:xfrm>
          <a:off x="16202025" y="3492500"/>
          <a:ext cx="2294763" cy="953965"/>
        </a:xfrm>
        <a:prstGeom prst="rect">
          <a:avLst/>
        </a:prstGeom>
      </xdr:spPr>
    </xdr:pic>
    <xdr:clientData/>
  </xdr:twoCellAnchor>
  <xdr:twoCellAnchor editAs="oneCell">
    <xdr:from>
      <xdr:col>12</xdr:col>
      <xdr:colOff>95250</xdr:colOff>
      <xdr:row>13</xdr:row>
      <xdr:rowOff>111125</xdr:rowOff>
    </xdr:from>
    <xdr:to>
      <xdr:col>13</xdr:col>
      <xdr:colOff>139700</xdr:colOff>
      <xdr:row>16</xdr:row>
      <xdr:rowOff>355599</xdr:rowOff>
    </xdr:to>
    <xdr:pic>
      <xdr:nvPicPr>
        <xdr:cNvPr id="44" name="Picture 2" descr="https://www.magnumheating.ro/editor/file/190061/ETN4.jpg">
          <a:extLst>
            <a:ext uri="{FF2B5EF4-FFF2-40B4-BE49-F238E27FC236}">
              <a16:creationId xmlns:a16="http://schemas.microsoft.com/office/drawing/2014/main" id="{738A3C7D-57F1-4153-8B7C-72816705A42F}"/>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9077325" y="4702175"/>
          <a:ext cx="682625" cy="1130299"/>
        </a:xfrm>
        <a:prstGeom prst="rect">
          <a:avLst/>
        </a:prstGeom>
        <a:noFill/>
      </xdr:spPr>
    </xdr:pic>
    <xdr:clientData/>
  </xdr:twoCellAnchor>
  <xdr:twoCellAnchor editAs="oneCell">
    <xdr:from>
      <xdr:col>13</xdr:col>
      <xdr:colOff>387350</xdr:colOff>
      <xdr:row>13</xdr:row>
      <xdr:rowOff>215900</xdr:rowOff>
    </xdr:from>
    <xdr:to>
      <xdr:col>14</xdr:col>
      <xdr:colOff>190499</xdr:colOff>
      <xdr:row>16</xdr:row>
      <xdr:rowOff>316391</xdr:rowOff>
    </xdr:to>
    <xdr:pic>
      <xdr:nvPicPr>
        <xdr:cNvPr id="46" name="Imagine 10">
          <a:extLst>
            <a:ext uri="{FF2B5EF4-FFF2-40B4-BE49-F238E27FC236}">
              <a16:creationId xmlns:a16="http://schemas.microsoft.com/office/drawing/2014/main" id="{1A2A0377-92C7-452E-983A-1770EDFD1FC8}"/>
            </a:ext>
          </a:extLst>
        </xdr:cNvPr>
        <xdr:cNvPicPr>
          <a:picLocks noChangeAspect="1"/>
        </xdr:cNvPicPr>
      </xdr:nvPicPr>
      <xdr:blipFill>
        <a:blip xmlns:r="http://schemas.openxmlformats.org/officeDocument/2006/relationships" r:embed="rId39"/>
        <a:stretch>
          <a:fillRect/>
        </a:stretch>
      </xdr:blipFill>
      <xdr:spPr>
        <a:xfrm>
          <a:off x="10007600" y="4806950"/>
          <a:ext cx="469899" cy="986316"/>
        </a:xfrm>
        <a:prstGeom prst="rect">
          <a:avLst/>
        </a:prstGeom>
      </xdr:spPr>
    </xdr:pic>
    <xdr:clientData/>
  </xdr:twoCellAnchor>
  <xdr:twoCellAnchor editAs="oneCell">
    <xdr:from>
      <xdr:col>13</xdr:col>
      <xdr:colOff>600075</xdr:colOff>
      <xdr:row>13</xdr:row>
      <xdr:rowOff>196850</xdr:rowOff>
    </xdr:from>
    <xdr:to>
      <xdr:col>15</xdr:col>
      <xdr:colOff>369909</xdr:colOff>
      <xdr:row>15</xdr:row>
      <xdr:rowOff>313785</xdr:rowOff>
    </xdr:to>
    <xdr:pic>
      <xdr:nvPicPr>
        <xdr:cNvPr id="47" name="Imagine 11">
          <a:extLst>
            <a:ext uri="{FF2B5EF4-FFF2-40B4-BE49-F238E27FC236}">
              <a16:creationId xmlns:a16="http://schemas.microsoft.com/office/drawing/2014/main" id="{026D9B72-4DE5-49B3-BB5E-510F2ED0FA3D}"/>
            </a:ext>
          </a:extLst>
        </xdr:cNvPr>
        <xdr:cNvPicPr>
          <a:picLocks noChangeAspect="1"/>
        </xdr:cNvPicPr>
      </xdr:nvPicPr>
      <xdr:blipFill>
        <a:blip xmlns:r="http://schemas.openxmlformats.org/officeDocument/2006/relationships" r:embed="rId34"/>
        <a:stretch>
          <a:fillRect/>
        </a:stretch>
      </xdr:blipFill>
      <xdr:spPr>
        <a:xfrm rot="305766">
          <a:off x="10220325" y="4787900"/>
          <a:ext cx="1274784" cy="612235"/>
        </a:xfrm>
        <a:prstGeom prst="rect">
          <a:avLst/>
        </a:prstGeom>
      </xdr:spPr>
    </xdr:pic>
    <xdr:clientData/>
  </xdr:twoCellAnchor>
  <xdr:twoCellAnchor editAs="oneCell">
    <xdr:from>
      <xdr:col>16</xdr:col>
      <xdr:colOff>609600</xdr:colOff>
      <xdr:row>15</xdr:row>
      <xdr:rowOff>0</xdr:rowOff>
    </xdr:from>
    <xdr:to>
      <xdr:col>17</xdr:col>
      <xdr:colOff>326611</xdr:colOff>
      <xdr:row>16</xdr:row>
      <xdr:rowOff>160037</xdr:rowOff>
    </xdr:to>
    <xdr:pic>
      <xdr:nvPicPr>
        <xdr:cNvPr id="48" name="Picture 30">
          <a:extLst>
            <a:ext uri="{FF2B5EF4-FFF2-40B4-BE49-F238E27FC236}">
              <a16:creationId xmlns:a16="http://schemas.microsoft.com/office/drawing/2014/main" id="{338FCCAF-33D3-41FE-A6C2-EC41E5A1CF89}"/>
            </a:ext>
          </a:extLst>
        </xdr:cNvPr>
        <xdr:cNvPicPr>
          <a:picLocks noChangeAspect="1" noChangeArrowheads="1"/>
        </xdr:cNvPicPr>
      </xdr:nvPicPr>
      <xdr:blipFill>
        <a:blip xmlns:r="http://schemas.openxmlformats.org/officeDocument/2006/relationships" r:embed="rId40"/>
        <a:srcRect/>
        <a:stretch>
          <a:fillRect/>
        </a:stretch>
      </xdr:blipFill>
      <xdr:spPr bwMode="auto">
        <a:xfrm>
          <a:off x="12506325" y="5181600"/>
          <a:ext cx="755236" cy="550562"/>
        </a:xfrm>
        <a:prstGeom prst="rect">
          <a:avLst/>
        </a:prstGeom>
        <a:noFill/>
      </xdr:spPr>
    </xdr:pic>
    <xdr:clientData/>
  </xdr:twoCellAnchor>
  <xdr:twoCellAnchor editAs="oneCell">
    <xdr:from>
      <xdr:col>17</xdr:col>
      <xdr:colOff>352425</xdr:colOff>
      <xdr:row>13</xdr:row>
      <xdr:rowOff>190500</xdr:rowOff>
    </xdr:from>
    <xdr:to>
      <xdr:col>19</xdr:col>
      <xdr:colOff>66676</xdr:colOff>
      <xdr:row>15</xdr:row>
      <xdr:rowOff>369622</xdr:rowOff>
    </xdr:to>
    <xdr:pic>
      <xdr:nvPicPr>
        <xdr:cNvPr id="49" name="Immagine 28" descr="PHTE3.jpg">
          <a:extLst>
            <a:ext uri="{FF2B5EF4-FFF2-40B4-BE49-F238E27FC236}">
              <a16:creationId xmlns:a16="http://schemas.microsoft.com/office/drawing/2014/main" id="{675DEFC1-4126-4441-B3E3-1AB8D33AF00E}"/>
            </a:ext>
          </a:extLst>
        </xdr:cNvPr>
        <xdr:cNvPicPr>
          <a:picLocks noChangeAspect="1"/>
        </xdr:cNvPicPr>
      </xdr:nvPicPr>
      <xdr:blipFill>
        <a:blip xmlns:r="http://schemas.openxmlformats.org/officeDocument/2006/relationships" r:embed="rId41" cstate="print"/>
        <a:stretch>
          <a:fillRect/>
        </a:stretch>
      </xdr:blipFill>
      <xdr:spPr>
        <a:xfrm flipH="1">
          <a:off x="13315950" y="4876800"/>
          <a:ext cx="914401" cy="677597"/>
        </a:xfrm>
        <a:prstGeom prst="rect">
          <a:avLst/>
        </a:prstGeom>
      </xdr:spPr>
    </xdr:pic>
    <xdr:clientData/>
  </xdr:twoCellAnchor>
  <xdr:twoCellAnchor editAs="oneCell">
    <xdr:from>
      <xdr:col>22</xdr:col>
      <xdr:colOff>0</xdr:colOff>
      <xdr:row>13</xdr:row>
      <xdr:rowOff>200025</xdr:rowOff>
    </xdr:from>
    <xdr:to>
      <xdr:col>23</xdr:col>
      <xdr:colOff>411730</xdr:colOff>
      <xdr:row>15</xdr:row>
      <xdr:rowOff>249444</xdr:rowOff>
    </xdr:to>
    <xdr:pic>
      <xdr:nvPicPr>
        <xdr:cNvPr id="51" name="Immagine 27" descr="PHTE2.png">
          <a:extLst>
            <a:ext uri="{FF2B5EF4-FFF2-40B4-BE49-F238E27FC236}">
              <a16:creationId xmlns:a16="http://schemas.microsoft.com/office/drawing/2014/main" id="{B6B153C5-FEE0-434F-B53A-041816FC859A}"/>
            </a:ext>
          </a:extLst>
        </xdr:cNvPr>
        <xdr:cNvPicPr>
          <a:picLocks noChangeAspect="1"/>
        </xdr:cNvPicPr>
      </xdr:nvPicPr>
      <xdr:blipFill>
        <a:blip xmlns:r="http://schemas.openxmlformats.org/officeDocument/2006/relationships" r:embed="rId42" cstate="print"/>
        <a:stretch>
          <a:fillRect/>
        </a:stretch>
      </xdr:blipFill>
      <xdr:spPr>
        <a:xfrm>
          <a:off x="16411575" y="4886325"/>
          <a:ext cx="1088005" cy="544719"/>
        </a:xfrm>
        <a:prstGeom prst="rect">
          <a:avLst/>
        </a:prstGeom>
      </xdr:spPr>
    </xdr:pic>
    <xdr:clientData/>
  </xdr:twoCellAnchor>
  <xdr:twoCellAnchor editAs="oneCell">
    <xdr:from>
      <xdr:col>22</xdr:col>
      <xdr:colOff>104775</xdr:colOff>
      <xdr:row>21</xdr:row>
      <xdr:rowOff>190500</xdr:rowOff>
    </xdr:from>
    <xdr:to>
      <xdr:col>23</xdr:col>
      <xdr:colOff>454025</xdr:colOff>
      <xdr:row>26</xdr:row>
      <xdr:rowOff>2049</xdr:rowOff>
    </xdr:to>
    <xdr:pic>
      <xdr:nvPicPr>
        <xdr:cNvPr id="52" name="Picture 51">
          <a:extLst>
            <a:ext uri="{FF2B5EF4-FFF2-40B4-BE49-F238E27FC236}">
              <a16:creationId xmlns:a16="http://schemas.microsoft.com/office/drawing/2014/main" id="{F25CC860-393B-490F-935A-531974603A7E}"/>
            </a:ext>
          </a:extLst>
        </xdr:cNvPr>
        <xdr:cNvPicPr>
          <a:picLocks noChangeAspect="1"/>
        </xdr:cNvPicPr>
      </xdr:nvPicPr>
      <xdr:blipFill>
        <a:blip xmlns:r="http://schemas.openxmlformats.org/officeDocument/2006/relationships" r:embed="rId43"/>
        <a:stretch>
          <a:fillRect/>
        </a:stretch>
      </xdr:blipFill>
      <xdr:spPr>
        <a:xfrm>
          <a:off x="16516350" y="6781800"/>
          <a:ext cx="1025525" cy="811674"/>
        </a:xfrm>
        <a:prstGeom prst="rect">
          <a:avLst/>
        </a:prstGeom>
      </xdr:spPr>
    </xdr:pic>
    <xdr:clientData/>
  </xdr:twoCellAnchor>
  <xdr:twoCellAnchor editAs="oneCell">
    <xdr:from>
      <xdr:col>18</xdr:col>
      <xdr:colOff>568325</xdr:colOff>
      <xdr:row>12</xdr:row>
      <xdr:rowOff>835025</xdr:rowOff>
    </xdr:from>
    <xdr:to>
      <xdr:col>19</xdr:col>
      <xdr:colOff>838320</xdr:colOff>
      <xdr:row>14</xdr:row>
      <xdr:rowOff>25460</xdr:rowOff>
    </xdr:to>
    <xdr:pic>
      <xdr:nvPicPr>
        <xdr:cNvPr id="56" name="Imagine 10">
          <a:extLst>
            <a:ext uri="{FF2B5EF4-FFF2-40B4-BE49-F238E27FC236}">
              <a16:creationId xmlns:a16="http://schemas.microsoft.com/office/drawing/2014/main" id="{DD831759-54A6-47E3-8087-D3A1173075C6}"/>
            </a:ext>
          </a:extLst>
        </xdr:cNvPr>
        <xdr:cNvPicPr>
          <a:picLocks noChangeAspect="1"/>
        </xdr:cNvPicPr>
      </xdr:nvPicPr>
      <xdr:blipFill>
        <a:blip xmlns:r="http://schemas.openxmlformats.org/officeDocument/2006/relationships" r:embed="rId44"/>
        <a:stretch>
          <a:fillRect/>
        </a:stretch>
      </xdr:blipFill>
      <xdr:spPr>
        <a:xfrm>
          <a:off x="14065250" y="4406900"/>
          <a:ext cx="908170" cy="428685"/>
        </a:xfrm>
        <a:prstGeom prst="rect">
          <a:avLst/>
        </a:prstGeom>
      </xdr:spPr>
    </xdr:pic>
    <xdr:clientData/>
  </xdr:twoCellAnchor>
  <xdr:twoCellAnchor editAs="oneCell">
    <xdr:from>
      <xdr:col>15</xdr:col>
      <xdr:colOff>228600</xdr:colOff>
      <xdr:row>14</xdr:row>
      <xdr:rowOff>200025</xdr:rowOff>
    </xdr:from>
    <xdr:to>
      <xdr:col>16</xdr:col>
      <xdr:colOff>169214</xdr:colOff>
      <xdr:row>16</xdr:row>
      <xdr:rowOff>168275</xdr:rowOff>
    </xdr:to>
    <xdr:pic>
      <xdr:nvPicPr>
        <xdr:cNvPr id="29" name="Picture 28">
          <a:extLst>
            <a:ext uri="{FF2B5EF4-FFF2-40B4-BE49-F238E27FC236}">
              <a16:creationId xmlns:a16="http://schemas.microsoft.com/office/drawing/2014/main" id="{24E6F2F3-246D-4D6A-861B-7D61DE5103C8}"/>
            </a:ext>
          </a:extLst>
        </xdr:cNvPr>
        <xdr:cNvPicPr>
          <a:picLocks noChangeAspect="1"/>
        </xdr:cNvPicPr>
      </xdr:nvPicPr>
      <xdr:blipFill>
        <a:blip xmlns:r="http://schemas.openxmlformats.org/officeDocument/2006/relationships" r:embed="rId45"/>
        <a:stretch>
          <a:fillRect/>
        </a:stretch>
      </xdr:blipFill>
      <xdr:spPr>
        <a:xfrm>
          <a:off x="11353800" y="5105400"/>
          <a:ext cx="712139" cy="635000"/>
        </a:xfrm>
        <a:prstGeom prst="rect">
          <a:avLst/>
        </a:prstGeom>
      </xdr:spPr>
    </xdr:pic>
    <xdr:clientData/>
  </xdr:twoCellAnchor>
  <xdr:twoCellAnchor editAs="oneCell">
    <xdr:from>
      <xdr:col>16</xdr:col>
      <xdr:colOff>387350</xdr:colOff>
      <xdr:row>12</xdr:row>
      <xdr:rowOff>95251</xdr:rowOff>
    </xdr:from>
    <xdr:to>
      <xdr:col>16</xdr:col>
      <xdr:colOff>921823</xdr:colOff>
      <xdr:row>12</xdr:row>
      <xdr:rowOff>666751</xdr:rowOff>
    </xdr:to>
    <xdr:pic>
      <xdr:nvPicPr>
        <xdr:cNvPr id="38" name="Picture 37">
          <a:extLst>
            <a:ext uri="{FF2B5EF4-FFF2-40B4-BE49-F238E27FC236}">
              <a16:creationId xmlns:a16="http://schemas.microsoft.com/office/drawing/2014/main" id="{16B82B23-6CD5-4A90-B135-138C49BE3C44}"/>
            </a:ext>
          </a:extLst>
        </xdr:cNvPr>
        <xdr:cNvPicPr>
          <a:picLocks noChangeAspect="1"/>
        </xdr:cNvPicPr>
      </xdr:nvPicPr>
      <xdr:blipFill>
        <a:blip xmlns:r="http://schemas.openxmlformats.org/officeDocument/2006/relationships" r:embed="rId46"/>
        <a:stretch>
          <a:fillRect/>
        </a:stretch>
      </xdr:blipFill>
      <xdr:spPr>
        <a:xfrm>
          <a:off x="12284075" y="3762376"/>
          <a:ext cx="540823" cy="571500"/>
        </a:xfrm>
        <a:prstGeom prst="rect">
          <a:avLst/>
        </a:prstGeom>
      </xdr:spPr>
    </xdr:pic>
    <xdr:clientData/>
  </xdr:twoCellAnchor>
  <xdr:twoCellAnchor editAs="oneCell">
    <xdr:from>
      <xdr:col>19</xdr:col>
      <xdr:colOff>838200</xdr:colOff>
      <xdr:row>13</xdr:row>
      <xdr:rowOff>28575</xdr:rowOff>
    </xdr:from>
    <xdr:to>
      <xdr:col>21</xdr:col>
      <xdr:colOff>282575</xdr:colOff>
      <xdr:row>16</xdr:row>
      <xdr:rowOff>163907</xdr:rowOff>
    </xdr:to>
    <xdr:pic>
      <xdr:nvPicPr>
        <xdr:cNvPr id="43" name="Imagine 48" descr="terneo sneg + OSA">
          <a:extLst>
            <a:ext uri="{FF2B5EF4-FFF2-40B4-BE49-F238E27FC236}">
              <a16:creationId xmlns:a16="http://schemas.microsoft.com/office/drawing/2014/main" id="{CD36D9A9-7245-4492-A892-4BC4BC58BFC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4973300" y="4714875"/>
          <a:ext cx="1082675" cy="1021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257175</xdr:colOff>
      <xdr:row>16</xdr:row>
      <xdr:rowOff>152400</xdr:rowOff>
    </xdr:from>
    <xdr:to>
      <xdr:col>20</xdr:col>
      <xdr:colOff>133351</xdr:colOff>
      <xdr:row>19</xdr:row>
      <xdr:rowOff>86813</xdr:rowOff>
    </xdr:to>
    <xdr:pic>
      <xdr:nvPicPr>
        <xdr:cNvPr id="45" name="Imagine 13">
          <a:extLst>
            <a:ext uri="{FF2B5EF4-FFF2-40B4-BE49-F238E27FC236}">
              <a16:creationId xmlns:a16="http://schemas.microsoft.com/office/drawing/2014/main" id="{5AFCCB86-0F4F-4F02-9551-7084569E3D69}"/>
            </a:ext>
          </a:extLst>
        </xdr:cNvPr>
        <xdr:cNvPicPr>
          <a:picLocks noChangeAspect="1"/>
        </xdr:cNvPicPr>
      </xdr:nvPicPr>
      <xdr:blipFill>
        <a:blip xmlns:r="http://schemas.openxmlformats.org/officeDocument/2006/relationships" r:embed="rId48"/>
        <a:stretch>
          <a:fillRect/>
        </a:stretch>
      </xdr:blipFill>
      <xdr:spPr>
        <a:xfrm>
          <a:off x="13754100" y="5629275"/>
          <a:ext cx="1381126" cy="724988"/>
        </a:xfrm>
        <a:prstGeom prst="rect">
          <a:avLst/>
        </a:prstGeom>
      </xdr:spPr>
    </xdr:pic>
    <xdr:clientData/>
  </xdr:twoCellAnchor>
  <xdr:twoCellAnchor editAs="oneCell">
    <xdr:from>
      <xdr:col>14</xdr:col>
      <xdr:colOff>628651</xdr:colOff>
      <xdr:row>5</xdr:row>
      <xdr:rowOff>25401</xdr:rowOff>
    </xdr:from>
    <xdr:to>
      <xdr:col>16</xdr:col>
      <xdr:colOff>501651</xdr:colOff>
      <xdr:row>10</xdr:row>
      <xdr:rowOff>47635</xdr:rowOff>
    </xdr:to>
    <xdr:pic>
      <xdr:nvPicPr>
        <xdr:cNvPr id="23" name="Picture 22">
          <a:extLst>
            <a:ext uri="{FF2B5EF4-FFF2-40B4-BE49-F238E27FC236}">
              <a16:creationId xmlns:a16="http://schemas.microsoft.com/office/drawing/2014/main" id="{2D388640-C1BB-8668-398C-5251083EE036}"/>
            </a:ext>
          </a:extLst>
        </xdr:cNvPr>
        <xdr:cNvPicPr>
          <a:picLocks noChangeAspect="1"/>
        </xdr:cNvPicPr>
      </xdr:nvPicPr>
      <xdr:blipFill>
        <a:blip xmlns:r="http://schemas.openxmlformats.org/officeDocument/2006/relationships" r:embed="rId49"/>
        <a:stretch>
          <a:fillRect/>
        </a:stretch>
      </xdr:blipFill>
      <xdr:spPr>
        <a:xfrm>
          <a:off x="10915651" y="2349501"/>
          <a:ext cx="1485900" cy="866784"/>
        </a:xfrm>
        <a:prstGeom prst="rect">
          <a:avLst/>
        </a:prstGeom>
      </xdr:spPr>
    </xdr:pic>
    <xdr:clientData/>
  </xdr:twoCellAnchor>
  <xdr:twoCellAnchor editAs="oneCell">
    <xdr:from>
      <xdr:col>16</xdr:col>
      <xdr:colOff>762001</xdr:colOff>
      <xdr:row>5</xdr:row>
      <xdr:rowOff>85725</xdr:rowOff>
    </xdr:from>
    <xdr:to>
      <xdr:col>17</xdr:col>
      <xdr:colOff>209673</xdr:colOff>
      <xdr:row>10</xdr:row>
      <xdr:rowOff>0</xdr:rowOff>
    </xdr:to>
    <xdr:pic>
      <xdr:nvPicPr>
        <xdr:cNvPr id="37" name="Picture 36">
          <a:extLst>
            <a:ext uri="{FF2B5EF4-FFF2-40B4-BE49-F238E27FC236}">
              <a16:creationId xmlns:a16="http://schemas.microsoft.com/office/drawing/2014/main" id="{BF8E6E79-697A-B330-8B43-04E22BC12D34}"/>
            </a:ext>
          </a:extLst>
        </xdr:cNvPr>
        <xdr:cNvPicPr>
          <a:picLocks noChangeAspect="1"/>
        </xdr:cNvPicPr>
      </xdr:nvPicPr>
      <xdr:blipFill>
        <a:blip xmlns:r="http://schemas.openxmlformats.org/officeDocument/2006/relationships" r:embed="rId50"/>
        <a:stretch>
          <a:fillRect/>
        </a:stretch>
      </xdr:blipFill>
      <xdr:spPr>
        <a:xfrm>
          <a:off x="12658726" y="2409825"/>
          <a:ext cx="485897" cy="762000"/>
        </a:xfrm>
        <a:prstGeom prst="rect">
          <a:avLst/>
        </a:prstGeom>
      </xdr:spPr>
    </xdr:pic>
    <xdr:clientData/>
  </xdr:twoCellAnchor>
  <xdr:oneCellAnchor>
    <xdr:from>
      <xdr:col>22</xdr:col>
      <xdr:colOff>0</xdr:colOff>
      <xdr:row>41</xdr:row>
      <xdr:rowOff>0</xdr:rowOff>
    </xdr:from>
    <xdr:ext cx="1804496" cy="922020"/>
    <xdr:pic>
      <xdr:nvPicPr>
        <xdr:cNvPr id="53" name="image15.png">
          <a:extLst>
            <a:ext uri="{FF2B5EF4-FFF2-40B4-BE49-F238E27FC236}">
              <a16:creationId xmlns:a16="http://schemas.microsoft.com/office/drawing/2014/main" id="{AC5BC3AE-26F9-4F7C-B1D4-9E338BE8749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6411575" y="10668000"/>
          <a:ext cx="1804496" cy="922020"/>
        </a:xfrm>
        <a:prstGeom prst="rect">
          <a:avLst/>
        </a:prstGeom>
      </xdr:spPr>
    </xdr:pic>
    <xdr:clientData/>
  </xdr:oneCellAnchor>
  <xdr:oneCellAnchor>
    <xdr:from>
      <xdr:col>13</xdr:col>
      <xdr:colOff>0</xdr:colOff>
      <xdr:row>46</xdr:row>
      <xdr:rowOff>0</xdr:rowOff>
    </xdr:from>
    <xdr:ext cx="2019300" cy="1105382"/>
    <xdr:pic>
      <xdr:nvPicPr>
        <xdr:cNvPr id="54" name="image14.png">
          <a:extLst>
            <a:ext uri="{FF2B5EF4-FFF2-40B4-BE49-F238E27FC236}">
              <a16:creationId xmlns:a16="http://schemas.microsoft.com/office/drawing/2014/main" id="{30C25976-F6E1-400F-804D-26C5D4E8A99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620250" y="11668125"/>
          <a:ext cx="2019300" cy="1105382"/>
        </a:xfrm>
        <a:prstGeom prst="rect">
          <a:avLst/>
        </a:prstGeom>
      </xdr:spPr>
    </xdr:pic>
    <xdr:clientData/>
  </xdr:oneCellAnchor>
  <xdr:oneCellAnchor>
    <xdr:from>
      <xdr:col>16</xdr:col>
      <xdr:colOff>44450</xdr:colOff>
      <xdr:row>46</xdr:row>
      <xdr:rowOff>0</xdr:rowOff>
    </xdr:from>
    <xdr:ext cx="1584325" cy="885825"/>
    <xdr:grpSp>
      <xdr:nvGrpSpPr>
        <xdr:cNvPr id="55" name="Group 23">
          <a:extLst>
            <a:ext uri="{FF2B5EF4-FFF2-40B4-BE49-F238E27FC236}">
              <a16:creationId xmlns:a16="http://schemas.microsoft.com/office/drawing/2014/main" id="{6B31BF4E-703D-4E07-9531-1D88E8C5797A}"/>
            </a:ext>
          </a:extLst>
        </xdr:cNvPr>
        <xdr:cNvGrpSpPr/>
      </xdr:nvGrpSpPr>
      <xdr:grpSpPr>
        <a:xfrm>
          <a:off x="11714480" y="11620500"/>
          <a:ext cx="1584325" cy="885825"/>
          <a:chOff x="0" y="0"/>
          <a:chExt cx="1717675" cy="990600"/>
        </a:xfrm>
      </xdr:grpSpPr>
      <xdr:pic>
        <xdr:nvPicPr>
          <xdr:cNvPr id="57" name="image9.png">
            <a:extLst>
              <a:ext uri="{FF2B5EF4-FFF2-40B4-BE49-F238E27FC236}">
                <a16:creationId xmlns:a16="http://schemas.microsoft.com/office/drawing/2014/main" id="{F0F6F01B-F6A0-253C-6C75-D5C60F7070E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7144" y="0"/>
            <a:ext cx="1619996" cy="990003"/>
          </a:xfrm>
          <a:prstGeom prst="rect">
            <a:avLst/>
          </a:prstGeom>
        </xdr:spPr>
      </xdr:pic>
      <xdr:pic>
        <xdr:nvPicPr>
          <xdr:cNvPr id="58" name="image10.png">
            <a:extLst>
              <a:ext uri="{FF2B5EF4-FFF2-40B4-BE49-F238E27FC236}">
                <a16:creationId xmlns:a16="http://schemas.microsoft.com/office/drawing/2014/main" id="{A3A0A210-CE31-A2B8-3F38-76B54B927582}"/>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90641" y="98996"/>
            <a:ext cx="612000" cy="459003"/>
          </a:xfrm>
          <a:prstGeom prst="rect">
            <a:avLst/>
          </a:prstGeom>
        </xdr:spPr>
      </xdr:pic>
      <xdr:sp macro="" textlink="">
        <xdr:nvSpPr>
          <xdr:cNvPr id="59" name="Shape 26">
            <a:extLst>
              <a:ext uri="{FF2B5EF4-FFF2-40B4-BE49-F238E27FC236}">
                <a16:creationId xmlns:a16="http://schemas.microsoft.com/office/drawing/2014/main" id="{845027A0-532E-BE80-6F67-7B0421F67D56}"/>
              </a:ext>
            </a:extLst>
          </xdr:cNvPr>
          <xdr:cNvSpPr/>
        </xdr:nvSpPr>
        <xdr:spPr>
          <a:xfrm>
            <a:off x="-10" y="11607"/>
            <a:ext cx="348615" cy="153670"/>
          </a:xfrm>
          <a:custGeom>
            <a:avLst/>
            <a:gdLst/>
            <a:ahLst/>
            <a:cxnLst/>
            <a:rect l="0" t="0" r="0" b="0"/>
            <a:pathLst>
              <a:path w="348615" h="153670">
                <a:moveTo>
                  <a:pt x="275170" y="36131"/>
                </a:moveTo>
                <a:lnTo>
                  <a:pt x="208927" y="36131"/>
                </a:lnTo>
                <a:lnTo>
                  <a:pt x="208927" y="112737"/>
                </a:lnTo>
                <a:lnTo>
                  <a:pt x="230060" y="112737"/>
                </a:lnTo>
                <a:lnTo>
                  <a:pt x="230060" y="89281"/>
                </a:lnTo>
                <a:lnTo>
                  <a:pt x="270827" y="89281"/>
                </a:lnTo>
                <a:lnTo>
                  <a:pt x="270827" y="71297"/>
                </a:lnTo>
                <a:lnTo>
                  <a:pt x="230060" y="71297"/>
                </a:lnTo>
                <a:lnTo>
                  <a:pt x="230060" y="54190"/>
                </a:lnTo>
                <a:lnTo>
                  <a:pt x="275170" y="54190"/>
                </a:lnTo>
                <a:lnTo>
                  <a:pt x="275170" y="36131"/>
                </a:lnTo>
                <a:close/>
              </a:path>
              <a:path w="348615" h="153670">
                <a:moveTo>
                  <a:pt x="307124" y="57086"/>
                </a:moveTo>
                <a:lnTo>
                  <a:pt x="287439" y="57086"/>
                </a:lnTo>
                <a:lnTo>
                  <a:pt x="287439" y="112737"/>
                </a:lnTo>
                <a:lnTo>
                  <a:pt x="307124" y="112737"/>
                </a:lnTo>
                <a:lnTo>
                  <a:pt x="307124" y="57086"/>
                </a:lnTo>
                <a:close/>
              </a:path>
              <a:path w="348615" h="153670">
                <a:moveTo>
                  <a:pt x="308775" y="35801"/>
                </a:moveTo>
                <a:lnTo>
                  <a:pt x="304076" y="31864"/>
                </a:lnTo>
                <a:lnTo>
                  <a:pt x="290842" y="31864"/>
                </a:lnTo>
                <a:lnTo>
                  <a:pt x="286016" y="35801"/>
                </a:lnTo>
                <a:lnTo>
                  <a:pt x="286016" y="47396"/>
                </a:lnTo>
                <a:lnTo>
                  <a:pt x="290842" y="51130"/>
                </a:lnTo>
                <a:lnTo>
                  <a:pt x="304076" y="51130"/>
                </a:lnTo>
                <a:lnTo>
                  <a:pt x="308775" y="47396"/>
                </a:lnTo>
                <a:lnTo>
                  <a:pt x="308775" y="35801"/>
                </a:lnTo>
                <a:close/>
              </a:path>
              <a:path w="348615" h="153670">
                <a:moveTo>
                  <a:pt x="348272" y="58864"/>
                </a:moveTo>
                <a:lnTo>
                  <a:pt x="343674" y="36131"/>
                </a:lnTo>
                <a:lnTo>
                  <a:pt x="343649" y="35979"/>
                </a:lnTo>
                <a:lnTo>
                  <a:pt x="336956" y="26073"/>
                </a:lnTo>
                <a:lnTo>
                  <a:pt x="336956" y="58864"/>
                </a:lnTo>
                <a:lnTo>
                  <a:pt x="336956" y="94322"/>
                </a:lnTo>
                <a:lnTo>
                  <a:pt x="333222" y="112814"/>
                </a:lnTo>
                <a:lnTo>
                  <a:pt x="323011" y="127927"/>
                </a:lnTo>
                <a:lnTo>
                  <a:pt x="307898" y="138125"/>
                </a:lnTo>
                <a:lnTo>
                  <a:pt x="289420" y="141871"/>
                </a:lnTo>
                <a:lnTo>
                  <a:pt x="157988" y="141871"/>
                </a:lnTo>
                <a:lnTo>
                  <a:pt x="167957" y="132664"/>
                </a:lnTo>
                <a:lnTo>
                  <a:pt x="175590" y="121386"/>
                </a:lnTo>
                <a:lnTo>
                  <a:pt x="178828" y="112814"/>
                </a:lnTo>
                <a:lnTo>
                  <a:pt x="180467" y="108470"/>
                </a:lnTo>
                <a:lnTo>
                  <a:pt x="182181" y="94322"/>
                </a:lnTo>
                <a:lnTo>
                  <a:pt x="182181" y="58864"/>
                </a:lnTo>
                <a:lnTo>
                  <a:pt x="182448" y="57569"/>
                </a:lnTo>
                <a:lnTo>
                  <a:pt x="182549" y="57073"/>
                </a:lnTo>
                <a:lnTo>
                  <a:pt x="183756" y="51117"/>
                </a:lnTo>
                <a:lnTo>
                  <a:pt x="185928" y="40386"/>
                </a:lnTo>
                <a:lnTo>
                  <a:pt x="191681" y="31864"/>
                </a:lnTo>
                <a:lnTo>
                  <a:pt x="196126" y="25273"/>
                </a:lnTo>
                <a:lnTo>
                  <a:pt x="211251" y="15074"/>
                </a:lnTo>
                <a:lnTo>
                  <a:pt x="229730" y="11328"/>
                </a:lnTo>
                <a:lnTo>
                  <a:pt x="289420" y="11328"/>
                </a:lnTo>
                <a:lnTo>
                  <a:pt x="307898" y="15074"/>
                </a:lnTo>
                <a:lnTo>
                  <a:pt x="323011" y="25273"/>
                </a:lnTo>
                <a:lnTo>
                  <a:pt x="333222" y="40386"/>
                </a:lnTo>
                <a:lnTo>
                  <a:pt x="336956" y="58864"/>
                </a:lnTo>
                <a:lnTo>
                  <a:pt x="336956" y="26073"/>
                </a:lnTo>
                <a:lnTo>
                  <a:pt x="331012" y="17259"/>
                </a:lnTo>
                <a:lnTo>
                  <a:pt x="322224" y="11328"/>
                </a:lnTo>
                <a:lnTo>
                  <a:pt x="312305" y="4635"/>
                </a:lnTo>
                <a:lnTo>
                  <a:pt x="289407" y="0"/>
                </a:lnTo>
                <a:lnTo>
                  <a:pt x="153568" y="0"/>
                </a:lnTo>
                <a:lnTo>
                  <a:pt x="153568" y="35801"/>
                </a:lnTo>
                <a:lnTo>
                  <a:pt x="153568" y="47383"/>
                </a:lnTo>
                <a:lnTo>
                  <a:pt x="151942" y="48679"/>
                </a:lnTo>
                <a:lnTo>
                  <a:pt x="151942" y="57073"/>
                </a:lnTo>
                <a:lnTo>
                  <a:pt x="151942" y="112814"/>
                </a:lnTo>
                <a:lnTo>
                  <a:pt x="132219" y="112814"/>
                </a:lnTo>
                <a:lnTo>
                  <a:pt x="132219" y="57073"/>
                </a:lnTo>
                <a:lnTo>
                  <a:pt x="151942" y="57073"/>
                </a:lnTo>
                <a:lnTo>
                  <a:pt x="151942" y="48679"/>
                </a:lnTo>
                <a:lnTo>
                  <a:pt x="148869" y="51117"/>
                </a:lnTo>
                <a:lnTo>
                  <a:pt x="135623" y="51117"/>
                </a:lnTo>
                <a:lnTo>
                  <a:pt x="130797" y="47383"/>
                </a:lnTo>
                <a:lnTo>
                  <a:pt x="130797" y="36131"/>
                </a:lnTo>
                <a:lnTo>
                  <a:pt x="130797" y="35801"/>
                </a:lnTo>
                <a:lnTo>
                  <a:pt x="135623" y="31864"/>
                </a:lnTo>
                <a:lnTo>
                  <a:pt x="148869" y="31864"/>
                </a:lnTo>
                <a:lnTo>
                  <a:pt x="153568" y="35801"/>
                </a:lnTo>
                <a:lnTo>
                  <a:pt x="153568" y="0"/>
                </a:lnTo>
                <a:lnTo>
                  <a:pt x="122885" y="0"/>
                </a:lnTo>
                <a:lnTo>
                  <a:pt x="122885" y="36131"/>
                </a:lnTo>
                <a:lnTo>
                  <a:pt x="104597" y="112814"/>
                </a:lnTo>
                <a:lnTo>
                  <a:pt x="85039" y="112814"/>
                </a:lnTo>
                <a:lnTo>
                  <a:pt x="81508" y="96100"/>
                </a:lnTo>
                <a:lnTo>
                  <a:pt x="79692" y="86956"/>
                </a:lnTo>
                <a:lnTo>
                  <a:pt x="78117" y="77901"/>
                </a:lnTo>
                <a:lnTo>
                  <a:pt x="76923" y="70015"/>
                </a:lnTo>
                <a:lnTo>
                  <a:pt x="76263" y="64363"/>
                </a:lnTo>
                <a:lnTo>
                  <a:pt x="75615" y="70015"/>
                </a:lnTo>
                <a:lnTo>
                  <a:pt x="74409" y="77901"/>
                </a:lnTo>
                <a:lnTo>
                  <a:pt x="72821" y="86956"/>
                </a:lnTo>
                <a:lnTo>
                  <a:pt x="71005" y="96100"/>
                </a:lnTo>
                <a:lnTo>
                  <a:pt x="67487" y="112814"/>
                </a:lnTo>
                <a:lnTo>
                  <a:pt x="48145" y="112814"/>
                </a:lnTo>
                <a:lnTo>
                  <a:pt x="29857" y="36131"/>
                </a:lnTo>
                <a:lnTo>
                  <a:pt x="51739" y="36131"/>
                </a:lnTo>
                <a:lnTo>
                  <a:pt x="55118" y="57073"/>
                </a:lnTo>
                <a:lnTo>
                  <a:pt x="56489" y="66230"/>
                </a:lnTo>
                <a:lnTo>
                  <a:pt x="57632" y="74777"/>
                </a:lnTo>
                <a:lnTo>
                  <a:pt x="58420" y="82207"/>
                </a:lnTo>
                <a:lnTo>
                  <a:pt x="59347" y="74777"/>
                </a:lnTo>
                <a:lnTo>
                  <a:pt x="60693" y="66357"/>
                </a:lnTo>
                <a:lnTo>
                  <a:pt x="62331" y="57569"/>
                </a:lnTo>
                <a:lnTo>
                  <a:pt x="64109" y="49034"/>
                </a:lnTo>
                <a:lnTo>
                  <a:pt x="66725" y="36131"/>
                </a:lnTo>
                <a:lnTo>
                  <a:pt x="86220" y="36131"/>
                </a:lnTo>
                <a:lnTo>
                  <a:pt x="88849" y="49034"/>
                </a:lnTo>
                <a:lnTo>
                  <a:pt x="90525" y="57073"/>
                </a:lnTo>
                <a:lnTo>
                  <a:pt x="92240" y="66230"/>
                </a:lnTo>
                <a:lnTo>
                  <a:pt x="93624" y="74777"/>
                </a:lnTo>
                <a:lnTo>
                  <a:pt x="94538" y="82207"/>
                </a:lnTo>
                <a:lnTo>
                  <a:pt x="95326" y="74777"/>
                </a:lnTo>
                <a:lnTo>
                  <a:pt x="96456" y="66357"/>
                </a:lnTo>
                <a:lnTo>
                  <a:pt x="97777" y="57569"/>
                </a:lnTo>
                <a:lnTo>
                  <a:pt x="99123" y="49034"/>
                </a:lnTo>
                <a:lnTo>
                  <a:pt x="101206" y="36131"/>
                </a:lnTo>
                <a:lnTo>
                  <a:pt x="122885" y="36131"/>
                </a:lnTo>
                <a:lnTo>
                  <a:pt x="122885" y="0"/>
                </a:lnTo>
                <a:lnTo>
                  <a:pt x="58864" y="0"/>
                </a:lnTo>
                <a:lnTo>
                  <a:pt x="35979" y="4635"/>
                </a:lnTo>
                <a:lnTo>
                  <a:pt x="17259" y="17259"/>
                </a:lnTo>
                <a:lnTo>
                  <a:pt x="4749" y="35801"/>
                </a:lnTo>
                <a:lnTo>
                  <a:pt x="4635" y="35979"/>
                </a:lnTo>
                <a:lnTo>
                  <a:pt x="0" y="58864"/>
                </a:lnTo>
                <a:lnTo>
                  <a:pt x="0" y="94322"/>
                </a:lnTo>
                <a:lnTo>
                  <a:pt x="4635" y="117221"/>
                </a:lnTo>
                <a:lnTo>
                  <a:pt x="17259" y="135940"/>
                </a:lnTo>
                <a:lnTo>
                  <a:pt x="35979" y="148564"/>
                </a:lnTo>
                <a:lnTo>
                  <a:pt x="58864" y="153200"/>
                </a:lnTo>
                <a:lnTo>
                  <a:pt x="289407" y="153200"/>
                </a:lnTo>
                <a:lnTo>
                  <a:pt x="331012" y="135940"/>
                </a:lnTo>
                <a:lnTo>
                  <a:pt x="348272" y="94322"/>
                </a:lnTo>
                <a:lnTo>
                  <a:pt x="348272" y="58864"/>
                </a:lnTo>
                <a:close/>
              </a:path>
            </a:pathLst>
          </a:custGeom>
          <a:solidFill>
            <a:srgbClr val="231F20"/>
          </a:solidFill>
        </xdr:spPr>
      </xdr:sp>
      <xdr:sp macro="" textlink="">
        <xdr:nvSpPr>
          <xdr:cNvPr id="60" name="Shape 27">
            <a:extLst>
              <a:ext uri="{FF2B5EF4-FFF2-40B4-BE49-F238E27FC236}">
                <a16:creationId xmlns:a16="http://schemas.microsoft.com/office/drawing/2014/main" id="{9E332A3D-DFF5-7CE2-FDAC-DA2DCD6B0697}"/>
              </a:ext>
            </a:extLst>
          </xdr:cNvPr>
          <xdr:cNvSpPr/>
        </xdr:nvSpPr>
        <xdr:spPr>
          <a:xfrm>
            <a:off x="353062" y="15696"/>
            <a:ext cx="22225" cy="22225"/>
          </a:xfrm>
          <a:custGeom>
            <a:avLst/>
            <a:gdLst/>
            <a:ahLst/>
            <a:cxnLst/>
            <a:rect l="0" t="0" r="0" b="0"/>
            <a:pathLst>
              <a:path w="22225" h="22225">
                <a:moveTo>
                  <a:pt x="15392" y="7366"/>
                </a:moveTo>
                <a:lnTo>
                  <a:pt x="15062" y="6858"/>
                </a:lnTo>
                <a:lnTo>
                  <a:pt x="14782" y="6350"/>
                </a:lnTo>
                <a:lnTo>
                  <a:pt x="14427" y="5981"/>
                </a:lnTo>
                <a:lnTo>
                  <a:pt x="13550" y="5486"/>
                </a:lnTo>
                <a:lnTo>
                  <a:pt x="12839" y="5486"/>
                </a:lnTo>
                <a:lnTo>
                  <a:pt x="12839" y="9372"/>
                </a:lnTo>
                <a:lnTo>
                  <a:pt x="12522" y="9829"/>
                </a:lnTo>
                <a:lnTo>
                  <a:pt x="8420" y="9829"/>
                </a:lnTo>
                <a:lnTo>
                  <a:pt x="8420" y="7366"/>
                </a:lnTo>
                <a:lnTo>
                  <a:pt x="12255" y="7366"/>
                </a:lnTo>
                <a:lnTo>
                  <a:pt x="12522" y="7543"/>
                </a:lnTo>
                <a:lnTo>
                  <a:pt x="12801" y="7912"/>
                </a:lnTo>
                <a:lnTo>
                  <a:pt x="12839" y="9372"/>
                </a:lnTo>
                <a:lnTo>
                  <a:pt x="12839" y="5486"/>
                </a:lnTo>
                <a:lnTo>
                  <a:pt x="6057" y="5486"/>
                </a:lnTo>
                <a:lnTo>
                  <a:pt x="6057" y="11645"/>
                </a:lnTo>
                <a:lnTo>
                  <a:pt x="13373" y="11645"/>
                </a:lnTo>
                <a:lnTo>
                  <a:pt x="14147" y="11290"/>
                </a:lnTo>
                <a:lnTo>
                  <a:pt x="15100" y="10248"/>
                </a:lnTo>
                <a:lnTo>
                  <a:pt x="15341" y="9829"/>
                </a:lnTo>
                <a:lnTo>
                  <a:pt x="15392" y="7366"/>
                </a:lnTo>
                <a:close/>
              </a:path>
              <a:path w="22225" h="22225">
                <a:moveTo>
                  <a:pt x="16217" y="16903"/>
                </a:moveTo>
                <a:lnTo>
                  <a:pt x="13068" y="12103"/>
                </a:lnTo>
                <a:lnTo>
                  <a:pt x="9702" y="12103"/>
                </a:lnTo>
                <a:lnTo>
                  <a:pt x="6057" y="11925"/>
                </a:lnTo>
                <a:lnTo>
                  <a:pt x="6057" y="16903"/>
                </a:lnTo>
                <a:lnTo>
                  <a:pt x="8420" y="16903"/>
                </a:lnTo>
                <a:lnTo>
                  <a:pt x="8420" y="12103"/>
                </a:lnTo>
                <a:lnTo>
                  <a:pt x="10604" y="12395"/>
                </a:lnTo>
                <a:lnTo>
                  <a:pt x="10414" y="12395"/>
                </a:lnTo>
                <a:lnTo>
                  <a:pt x="11112" y="12915"/>
                </a:lnTo>
                <a:lnTo>
                  <a:pt x="11658" y="13728"/>
                </a:lnTo>
                <a:lnTo>
                  <a:pt x="12319" y="14998"/>
                </a:lnTo>
                <a:lnTo>
                  <a:pt x="13271" y="16903"/>
                </a:lnTo>
                <a:lnTo>
                  <a:pt x="16217" y="16903"/>
                </a:lnTo>
                <a:close/>
              </a:path>
              <a:path w="22225" h="22225">
                <a:moveTo>
                  <a:pt x="22059" y="9067"/>
                </a:moveTo>
                <a:lnTo>
                  <a:pt x="21551" y="7239"/>
                </a:lnTo>
                <a:lnTo>
                  <a:pt x="19824" y="4152"/>
                </a:lnTo>
                <a:lnTo>
                  <a:pt x="19824" y="12915"/>
                </a:lnTo>
                <a:lnTo>
                  <a:pt x="19519" y="14033"/>
                </a:lnTo>
                <a:lnTo>
                  <a:pt x="17945" y="16814"/>
                </a:lnTo>
                <a:lnTo>
                  <a:pt x="16852" y="17907"/>
                </a:lnTo>
                <a:lnTo>
                  <a:pt x="14058" y="19469"/>
                </a:lnTo>
                <a:lnTo>
                  <a:pt x="12585" y="19875"/>
                </a:lnTo>
                <a:lnTo>
                  <a:pt x="9512" y="19875"/>
                </a:lnTo>
                <a:lnTo>
                  <a:pt x="2286" y="12915"/>
                </a:lnTo>
                <a:lnTo>
                  <a:pt x="2298" y="9067"/>
                </a:lnTo>
                <a:lnTo>
                  <a:pt x="9525" y="2171"/>
                </a:lnTo>
                <a:lnTo>
                  <a:pt x="12547" y="2171"/>
                </a:lnTo>
                <a:lnTo>
                  <a:pt x="19824" y="12915"/>
                </a:lnTo>
                <a:lnTo>
                  <a:pt x="19824" y="4152"/>
                </a:lnTo>
                <a:lnTo>
                  <a:pt x="12928" y="0"/>
                </a:lnTo>
                <a:lnTo>
                  <a:pt x="9144" y="0"/>
                </a:lnTo>
                <a:lnTo>
                  <a:pt x="0" y="9067"/>
                </a:lnTo>
                <a:lnTo>
                  <a:pt x="0" y="12915"/>
                </a:lnTo>
                <a:lnTo>
                  <a:pt x="9118" y="22021"/>
                </a:lnTo>
                <a:lnTo>
                  <a:pt x="12941" y="22021"/>
                </a:lnTo>
                <a:lnTo>
                  <a:pt x="20586" y="16484"/>
                </a:lnTo>
                <a:lnTo>
                  <a:pt x="21577" y="14744"/>
                </a:lnTo>
                <a:lnTo>
                  <a:pt x="22059" y="12915"/>
                </a:lnTo>
                <a:lnTo>
                  <a:pt x="22059" y="9067"/>
                </a:lnTo>
                <a:close/>
              </a:path>
            </a:pathLst>
          </a:custGeom>
          <a:solidFill>
            <a:srgbClr val="050100"/>
          </a:solidFill>
        </xdr:spPr>
      </xdr:sp>
      <xdr:pic>
        <xdr:nvPicPr>
          <xdr:cNvPr id="61" name="image11.png">
            <a:extLst>
              <a:ext uri="{FF2B5EF4-FFF2-40B4-BE49-F238E27FC236}">
                <a16:creationId xmlns:a16="http://schemas.microsoft.com/office/drawing/2014/main" id="{7A80CEE3-C921-6BBA-6F1E-15B405AE7F64}"/>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22364" y="234315"/>
            <a:ext cx="358279" cy="188366"/>
          </a:xfrm>
          <a:prstGeom prst="rect">
            <a:avLst/>
          </a:prstGeom>
        </xdr:spPr>
      </xdr:pic>
      <xdr:pic>
        <xdr:nvPicPr>
          <xdr:cNvPr id="62" name="image12.png">
            <a:extLst>
              <a:ext uri="{FF2B5EF4-FFF2-40B4-BE49-F238E27FC236}">
                <a16:creationId xmlns:a16="http://schemas.microsoft.com/office/drawing/2014/main" id="{E7B125E3-FECE-FEA7-E8D4-5CA90D10E70D}"/>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036715" y="270001"/>
            <a:ext cx="314999" cy="314999"/>
          </a:xfrm>
          <a:prstGeom prst="rect">
            <a:avLst/>
          </a:prstGeom>
        </xdr:spPr>
      </xdr:pic>
    </xdr:grp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104775</xdr:colOff>
      <xdr:row>0</xdr:row>
      <xdr:rowOff>114300</xdr:rowOff>
    </xdr:from>
    <xdr:ext cx="1524000" cy="1428750"/>
    <xdr:pic>
      <xdr:nvPicPr>
        <xdr:cNvPr id="2" name="Imagine 1">
          <a:extLst>
            <a:ext uri="{FF2B5EF4-FFF2-40B4-BE49-F238E27FC236}">
              <a16:creationId xmlns:a16="http://schemas.microsoft.com/office/drawing/2014/main" id="{F55E08DE-3D16-4928-81B9-8DBC9AAB1E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14300"/>
          <a:ext cx="1524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712167</xdr:colOff>
      <xdr:row>10</xdr:row>
      <xdr:rowOff>67947</xdr:rowOff>
    </xdr:from>
    <xdr:to>
      <xdr:col>2</xdr:col>
      <xdr:colOff>1722783</xdr:colOff>
      <xdr:row>14</xdr:row>
      <xdr:rowOff>82885</xdr:rowOff>
    </xdr:to>
    <xdr:pic>
      <xdr:nvPicPr>
        <xdr:cNvPr id="3" name="Imagine 5">
          <a:extLst>
            <a:ext uri="{FF2B5EF4-FFF2-40B4-BE49-F238E27FC236}">
              <a16:creationId xmlns:a16="http://schemas.microsoft.com/office/drawing/2014/main" id="{81DC95BE-15A9-4494-B7F4-9F07436A3DDB}"/>
            </a:ext>
          </a:extLst>
        </xdr:cNvPr>
        <xdr:cNvPicPr>
          <a:picLocks noChangeAspect="1"/>
        </xdr:cNvPicPr>
      </xdr:nvPicPr>
      <xdr:blipFill>
        <a:blip xmlns:r="http://schemas.openxmlformats.org/officeDocument/2006/relationships" r:embed="rId2"/>
        <a:stretch>
          <a:fillRect/>
        </a:stretch>
      </xdr:blipFill>
      <xdr:spPr>
        <a:xfrm>
          <a:off x="1739210" y="3588056"/>
          <a:ext cx="1010616" cy="929890"/>
        </a:xfrm>
        <a:prstGeom prst="rect">
          <a:avLst/>
        </a:prstGeom>
      </xdr:spPr>
    </xdr:pic>
    <xdr:clientData/>
  </xdr:twoCellAnchor>
  <xdr:twoCellAnchor editAs="oneCell">
    <xdr:from>
      <xdr:col>2</xdr:col>
      <xdr:colOff>2346322</xdr:colOff>
      <xdr:row>12</xdr:row>
      <xdr:rowOff>59913</xdr:rowOff>
    </xdr:from>
    <xdr:to>
      <xdr:col>2</xdr:col>
      <xdr:colOff>3257548</xdr:colOff>
      <xdr:row>15</xdr:row>
      <xdr:rowOff>48535</xdr:rowOff>
    </xdr:to>
    <xdr:pic>
      <xdr:nvPicPr>
        <xdr:cNvPr id="4" name="Immagine 28" descr="PHTE3.jpg">
          <a:extLst>
            <a:ext uri="{FF2B5EF4-FFF2-40B4-BE49-F238E27FC236}">
              <a16:creationId xmlns:a16="http://schemas.microsoft.com/office/drawing/2014/main" id="{CDB89BFF-A32B-4771-8DB8-A73FB3390D2A}"/>
            </a:ext>
          </a:extLst>
        </xdr:cNvPr>
        <xdr:cNvPicPr>
          <a:picLocks noChangeAspect="1"/>
        </xdr:cNvPicPr>
      </xdr:nvPicPr>
      <xdr:blipFill>
        <a:blip xmlns:r="http://schemas.openxmlformats.org/officeDocument/2006/relationships" r:embed="rId3" cstate="print"/>
        <a:stretch>
          <a:fillRect/>
        </a:stretch>
      </xdr:blipFill>
      <xdr:spPr>
        <a:xfrm flipH="1">
          <a:off x="3375022" y="3841338"/>
          <a:ext cx="911226" cy="671247"/>
        </a:xfrm>
        <a:prstGeom prst="rect">
          <a:avLst/>
        </a:prstGeom>
      </xdr:spPr>
    </xdr:pic>
    <xdr:clientData/>
  </xdr:twoCellAnchor>
  <xdr:twoCellAnchor editAs="oneCell">
    <xdr:from>
      <xdr:col>2</xdr:col>
      <xdr:colOff>3448879</xdr:colOff>
      <xdr:row>16</xdr:row>
      <xdr:rowOff>132797</xdr:rowOff>
    </xdr:from>
    <xdr:to>
      <xdr:col>4</xdr:col>
      <xdr:colOff>295275</xdr:colOff>
      <xdr:row>19</xdr:row>
      <xdr:rowOff>164948</xdr:rowOff>
    </xdr:to>
    <xdr:pic>
      <xdr:nvPicPr>
        <xdr:cNvPr id="7" name="Picture 30">
          <a:extLst>
            <a:ext uri="{FF2B5EF4-FFF2-40B4-BE49-F238E27FC236}">
              <a16:creationId xmlns:a16="http://schemas.microsoft.com/office/drawing/2014/main" id="{16594D90-5A7F-45FB-B46D-A6F76654DBF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4468054" y="4828622"/>
          <a:ext cx="986596" cy="714776"/>
        </a:xfrm>
        <a:prstGeom prst="rect">
          <a:avLst/>
        </a:prstGeom>
        <a:noFill/>
      </xdr:spPr>
    </xdr:pic>
    <xdr:clientData/>
  </xdr:twoCellAnchor>
  <xdr:twoCellAnchor editAs="oneCell">
    <xdr:from>
      <xdr:col>0</xdr:col>
      <xdr:colOff>152264</xdr:colOff>
      <xdr:row>10</xdr:row>
      <xdr:rowOff>104499</xdr:rowOff>
    </xdr:from>
    <xdr:to>
      <xdr:col>2</xdr:col>
      <xdr:colOff>445439</xdr:colOff>
      <xdr:row>14</xdr:row>
      <xdr:rowOff>115957</xdr:rowOff>
    </xdr:to>
    <xdr:pic>
      <xdr:nvPicPr>
        <xdr:cNvPr id="22" name="Picture 21">
          <a:extLst>
            <a:ext uri="{FF2B5EF4-FFF2-40B4-BE49-F238E27FC236}">
              <a16:creationId xmlns:a16="http://schemas.microsoft.com/office/drawing/2014/main" id="{3411723A-D43F-B3CD-B3F3-2460BDFF4210}"/>
            </a:ext>
          </a:extLst>
        </xdr:cNvPr>
        <xdr:cNvPicPr>
          <a:picLocks noChangeAspect="1"/>
        </xdr:cNvPicPr>
      </xdr:nvPicPr>
      <xdr:blipFill>
        <a:blip xmlns:r="http://schemas.openxmlformats.org/officeDocument/2006/relationships" r:embed="rId5"/>
        <a:stretch>
          <a:fillRect/>
        </a:stretch>
      </xdr:blipFill>
      <xdr:spPr>
        <a:xfrm>
          <a:off x="152264" y="3442390"/>
          <a:ext cx="1323393" cy="939110"/>
        </a:xfrm>
        <a:prstGeom prst="rect">
          <a:avLst/>
        </a:prstGeom>
      </xdr:spPr>
    </xdr:pic>
    <xdr:clientData/>
  </xdr:twoCellAnchor>
  <xdr:twoCellAnchor editAs="oneCell">
    <xdr:from>
      <xdr:col>0</xdr:col>
      <xdr:colOff>192983</xdr:colOff>
      <xdr:row>15</xdr:row>
      <xdr:rowOff>11459</xdr:rowOff>
    </xdr:from>
    <xdr:to>
      <xdr:col>2</xdr:col>
      <xdr:colOff>323022</xdr:colOff>
      <xdr:row>19</xdr:row>
      <xdr:rowOff>10256</xdr:rowOff>
    </xdr:to>
    <xdr:pic>
      <xdr:nvPicPr>
        <xdr:cNvPr id="23" name="Picture 22">
          <a:extLst>
            <a:ext uri="{FF2B5EF4-FFF2-40B4-BE49-F238E27FC236}">
              <a16:creationId xmlns:a16="http://schemas.microsoft.com/office/drawing/2014/main" id="{11DF2ADC-8B98-FD00-5DC1-5ACECD868721}"/>
            </a:ext>
          </a:extLst>
        </xdr:cNvPr>
        <xdr:cNvPicPr>
          <a:picLocks noChangeAspect="1"/>
        </xdr:cNvPicPr>
      </xdr:nvPicPr>
      <xdr:blipFill>
        <a:blip xmlns:r="http://schemas.openxmlformats.org/officeDocument/2006/relationships" r:embed="rId6"/>
        <a:stretch>
          <a:fillRect/>
        </a:stretch>
      </xdr:blipFill>
      <xdr:spPr>
        <a:xfrm>
          <a:off x="192983" y="4508916"/>
          <a:ext cx="1157082" cy="923274"/>
        </a:xfrm>
        <a:prstGeom prst="rect">
          <a:avLst/>
        </a:prstGeom>
      </xdr:spPr>
    </xdr:pic>
    <xdr:clientData/>
  </xdr:twoCellAnchor>
  <xdr:twoCellAnchor editAs="oneCell">
    <xdr:from>
      <xdr:col>2</xdr:col>
      <xdr:colOff>362642</xdr:colOff>
      <xdr:row>14</xdr:row>
      <xdr:rowOff>170069</xdr:rowOff>
    </xdr:from>
    <xdr:to>
      <xdr:col>2</xdr:col>
      <xdr:colOff>1568726</xdr:colOff>
      <xdr:row>20</xdr:row>
      <xdr:rowOff>21924</xdr:rowOff>
    </xdr:to>
    <xdr:pic>
      <xdr:nvPicPr>
        <xdr:cNvPr id="25" name="Picture 24">
          <a:extLst>
            <a:ext uri="{FF2B5EF4-FFF2-40B4-BE49-F238E27FC236}">
              <a16:creationId xmlns:a16="http://schemas.microsoft.com/office/drawing/2014/main" id="{7CE96834-A4E5-D9B6-EFB8-0E43D5563722}"/>
            </a:ext>
          </a:extLst>
        </xdr:cNvPr>
        <xdr:cNvPicPr>
          <a:picLocks noChangeAspect="1"/>
        </xdr:cNvPicPr>
      </xdr:nvPicPr>
      <xdr:blipFill>
        <a:blip xmlns:r="http://schemas.openxmlformats.org/officeDocument/2006/relationships" r:embed="rId7"/>
        <a:stretch>
          <a:fillRect/>
        </a:stretch>
      </xdr:blipFill>
      <xdr:spPr>
        <a:xfrm>
          <a:off x="1381817" y="4408694"/>
          <a:ext cx="1206084" cy="1223455"/>
        </a:xfrm>
        <a:prstGeom prst="rect">
          <a:avLst/>
        </a:prstGeom>
      </xdr:spPr>
    </xdr:pic>
    <xdr:clientData/>
  </xdr:twoCellAnchor>
  <xdr:twoCellAnchor editAs="oneCell">
    <xdr:from>
      <xdr:col>2</xdr:col>
      <xdr:colOff>2416590</xdr:colOff>
      <xdr:row>15</xdr:row>
      <xdr:rowOff>17807</xdr:rowOff>
    </xdr:from>
    <xdr:to>
      <xdr:col>2</xdr:col>
      <xdr:colOff>3425826</xdr:colOff>
      <xdr:row>19</xdr:row>
      <xdr:rowOff>163205</xdr:rowOff>
    </xdr:to>
    <xdr:pic>
      <xdr:nvPicPr>
        <xdr:cNvPr id="26" name="Picture 25">
          <a:extLst>
            <a:ext uri="{FF2B5EF4-FFF2-40B4-BE49-F238E27FC236}">
              <a16:creationId xmlns:a16="http://schemas.microsoft.com/office/drawing/2014/main" id="{D329AAFD-D2A5-FC51-3E1F-F0DCF4BA76A6}"/>
            </a:ext>
          </a:extLst>
        </xdr:cNvPr>
        <xdr:cNvPicPr>
          <a:picLocks noChangeAspect="1"/>
        </xdr:cNvPicPr>
      </xdr:nvPicPr>
      <xdr:blipFill>
        <a:blip xmlns:r="http://schemas.openxmlformats.org/officeDocument/2006/relationships" r:embed="rId8"/>
        <a:stretch>
          <a:fillRect/>
        </a:stretch>
      </xdr:blipFill>
      <xdr:spPr>
        <a:xfrm>
          <a:off x="3435765" y="4485032"/>
          <a:ext cx="1009236" cy="1059798"/>
        </a:xfrm>
        <a:prstGeom prst="rect">
          <a:avLst/>
        </a:prstGeom>
      </xdr:spPr>
    </xdr:pic>
    <xdr:clientData/>
  </xdr:twoCellAnchor>
  <xdr:twoCellAnchor editAs="oneCell">
    <xdr:from>
      <xdr:col>4</xdr:col>
      <xdr:colOff>324817</xdr:colOff>
      <xdr:row>16</xdr:row>
      <xdr:rowOff>112505</xdr:rowOff>
    </xdr:from>
    <xdr:to>
      <xdr:col>6</xdr:col>
      <xdr:colOff>47625</xdr:colOff>
      <xdr:row>19</xdr:row>
      <xdr:rowOff>202545</xdr:rowOff>
    </xdr:to>
    <xdr:pic>
      <xdr:nvPicPr>
        <xdr:cNvPr id="27" name="Imagine 11">
          <a:extLst>
            <a:ext uri="{FF2B5EF4-FFF2-40B4-BE49-F238E27FC236}">
              <a16:creationId xmlns:a16="http://schemas.microsoft.com/office/drawing/2014/main" id="{CD1FEE44-A84E-443C-BBD5-3EE0085EE956}"/>
            </a:ext>
          </a:extLst>
        </xdr:cNvPr>
        <xdr:cNvPicPr>
          <a:picLocks noChangeAspect="1"/>
        </xdr:cNvPicPr>
      </xdr:nvPicPr>
      <xdr:blipFill>
        <a:blip xmlns:r="http://schemas.openxmlformats.org/officeDocument/2006/relationships" r:embed="rId9"/>
        <a:stretch>
          <a:fillRect/>
        </a:stretch>
      </xdr:blipFill>
      <xdr:spPr>
        <a:xfrm>
          <a:off x="5487367" y="4808330"/>
          <a:ext cx="862633" cy="772665"/>
        </a:xfrm>
        <a:prstGeom prst="rect">
          <a:avLst/>
        </a:prstGeom>
      </xdr:spPr>
    </xdr:pic>
    <xdr:clientData/>
  </xdr:twoCellAnchor>
  <xdr:twoCellAnchor editAs="oneCell">
    <xdr:from>
      <xdr:col>2</xdr:col>
      <xdr:colOff>1628775</xdr:colOff>
      <xdr:row>14</xdr:row>
      <xdr:rowOff>209551</xdr:rowOff>
    </xdr:from>
    <xdr:to>
      <xdr:col>2</xdr:col>
      <xdr:colOff>2295320</xdr:colOff>
      <xdr:row>19</xdr:row>
      <xdr:rowOff>152401</xdr:rowOff>
    </xdr:to>
    <xdr:pic>
      <xdr:nvPicPr>
        <xdr:cNvPr id="9" name="Picture 8">
          <a:extLst>
            <a:ext uri="{FF2B5EF4-FFF2-40B4-BE49-F238E27FC236}">
              <a16:creationId xmlns:a16="http://schemas.microsoft.com/office/drawing/2014/main" id="{312322EE-DB59-AA47-B2B7-2B7ED27E5295}"/>
            </a:ext>
          </a:extLst>
        </xdr:cNvPr>
        <xdr:cNvPicPr>
          <a:picLocks noChangeAspect="1"/>
        </xdr:cNvPicPr>
      </xdr:nvPicPr>
      <xdr:blipFill>
        <a:blip xmlns:r="http://schemas.openxmlformats.org/officeDocument/2006/relationships" r:embed="rId10"/>
        <a:stretch>
          <a:fillRect/>
        </a:stretch>
      </xdr:blipFill>
      <xdr:spPr>
        <a:xfrm>
          <a:off x="2647950" y="4448176"/>
          <a:ext cx="666545" cy="1085850"/>
        </a:xfrm>
        <a:prstGeom prst="rect">
          <a:avLst/>
        </a:prstGeom>
      </xdr:spPr>
    </xdr:pic>
    <xdr:clientData/>
  </xdr:twoCellAnchor>
  <xdr:twoCellAnchor editAs="oneCell">
    <xdr:from>
      <xdr:col>2</xdr:col>
      <xdr:colOff>2162175</xdr:colOff>
      <xdr:row>10</xdr:row>
      <xdr:rowOff>85726</xdr:rowOff>
    </xdr:from>
    <xdr:to>
      <xdr:col>2</xdr:col>
      <xdr:colOff>3066699</xdr:colOff>
      <xdr:row>12</xdr:row>
      <xdr:rowOff>82551</xdr:rowOff>
    </xdr:to>
    <xdr:pic>
      <xdr:nvPicPr>
        <xdr:cNvPr id="10" name="Picture 9">
          <a:extLst>
            <a:ext uri="{FF2B5EF4-FFF2-40B4-BE49-F238E27FC236}">
              <a16:creationId xmlns:a16="http://schemas.microsoft.com/office/drawing/2014/main" id="{EC8D8CF2-1FD5-A2D7-E596-27270C7108B4}"/>
            </a:ext>
          </a:extLst>
        </xdr:cNvPr>
        <xdr:cNvPicPr>
          <a:picLocks noChangeAspect="1"/>
        </xdr:cNvPicPr>
      </xdr:nvPicPr>
      <xdr:blipFill>
        <a:blip xmlns:r="http://schemas.openxmlformats.org/officeDocument/2006/relationships" r:embed="rId11"/>
        <a:stretch>
          <a:fillRect/>
        </a:stretch>
      </xdr:blipFill>
      <xdr:spPr>
        <a:xfrm>
          <a:off x="3181350" y="3409951"/>
          <a:ext cx="904524" cy="457200"/>
        </a:xfrm>
        <a:prstGeom prst="rect">
          <a:avLst/>
        </a:prstGeom>
      </xdr:spPr>
    </xdr:pic>
    <xdr:clientData/>
  </xdr:twoCellAnchor>
  <xdr:twoCellAnchor editAs="oneCell">
    <xdr:from>
      <xdr:col>6</xdr:col>
      <xdr:colOff>101600</xdr:colOff>
      <xdr:row>17</xdr:row>
      <xdr:rowOff>57150</xdr:rowOff>
    </xdr:from>
    <xdr:to>
      <xdr:col>6</xdr:col>
      <xdr:colOff>857250</xdr:colOff>
      <xdr:row>19</xdr:row>
      <xdr:rowOff>11431</xdr:rowOff>
    </xdr:to>
    <xdr:pic>
      <xdr:nvPicPr>
        <xdr:cNvPr id="11" name="Picture 33">
          <a:extLst>
            <a:ext uri="{FF2B5EF4-FFF2-40B4-BE49-F238E27FC236}">
              <a16:creationId xmlns:a16="http://schemas.microsoft.com/office/drawing/2014/main" id="{4C9757A3-7EF6-41C8-AD57-DFC72D5EB4E7}"/>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6407150" y="4981575"/>
          <a:ext cx="755650" cy="41465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114300</xdr:rowOff>
    </xdr:from>
    <xdr:to>
      <xdr:col>2</xdr:col>
      <xdr:colOff>663575</xdr:colOff>
      <xdr:row>0</xdr:row>
      <xdr:rowOff>1543050</xdr:rowOff>
    </xdr:to>
    <xdr:pic>
      <xdr:nvPicPr>
        <xdr:cNvPr id="3" name="Imagine 2">
          <a:extLst>
            <a:ext uri="{FF2B5EF4-FFF2-40B4-BE49-F238E27FC236}">
              <a16:creationId xmlns:a16="http://schemas.microsoft.com/office/drawing/2014/main" id="{41FB4F1A-4B48-4EBA-89A0-BC6BF3356A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524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2530475</xdr:colOff>
      <xdr:row>13</xdr:row>
      <xdr:rowOff>179510</xdr:rowOff>
    </xdr:from>
    <xdr:to>
      <xdr:col>3</xdr:col>
      <xdr:colOff>516763</xdr:colOff>
      <xdr:row>16</xdr:row>
      <xdr:rowOff>0</xdr:rowOff>
    </xdr:to>
    <xdr:pic>
      <xdr:nvPicPr>
        <xdr:cNvPr id="5" name="Imagine 4">
          <a:extLst>
            <a:ext uri="{FF2B5EF4-FFF2-40B4-BE49-F238E27FC236}">
              <a16:creationId xmlns:a16="http://schemas.microsoft.com/office/drawing/2014/main" id="{C45C9520-40A0-A621-4C11-496D57A3DC92}"/>
            </a:ext>
          </a:extLst>
        </xdr:cNvPr>
        <xdr:cNvPicPr>
          <a:picLocks noChangeAspect="1"/>
        </xdr:cNvPicPr>
      </xdr:nvPicPr>
      <xdr:blipFill>
        <a:blip xmlns:r="http://schemas.openxmlformats.org/officeDocument/2006/relationships" r:embed="rId2"/>
        <a:stretch>
          <a:fillRect/>
        </a:stretch>
      </xdr:blipFill>
      <xdr:spPr>
        <a:xfrm>
          <a:off x="3540125" y="4427660"/>
          <a:ext cx="2301113" cy="950790"/>
        </a:xfrm>
        <a:prstGeom prst="rect">
          <a:avLst/>
        </a:prstGeom>
      </xdr:spPr>
    </xdr:pic>
    <xdr:clientData/>
  </xdr:twoCellAnchor>
  <xdr:twoCellAnchor editAs="oneCell">
    <xdr:from>
      <xdr:col>2</xdr:col>
      <xdr:colOff>415925</xdr:colOff>
      <xdr:row>13</xdr:row>
      <xdr:rowOff>225563</xdr:rowOff>
    </xdr:from>
    <xdr:to>
      <xdr:col>2</xdr:col>
      <xdr:colOff>1533525</xdr:colOff>
      <xdr:row>15</xdr:row>
      <xdr:rowOff>39287</xdr:rowOff>
    </xdr:to>
    <xdr:pic>
      <xdr:nvPicPr>
        <xdr:cNvPr id="9" name="Imagine 8">
          <a:extLst>
            <a:ext uri="{FF2B5EF4-FFF2-40B4-BE49-F238E27FC236}">
              <a16:creationId xmlns:a16="http://schemas.microsoft.com/office/drawing/2014/main" id="{04443F57-1BF3-C596-1E12-E7F90E199ACF}"/>
            </a:ext>
          </a:extLst>
        </xdr:cNvPr>
        <xdr:cNvPicPr>
          <a:picLocks noChangeAspect="1"/>
        </xdr:cNvPicPr>
      </xdr:nvPicPr>
      <xdr:blipFill>
        <a:blip xmlns:r="http://schemas.openxmlformats.org/officeDocument/2006/relationships" r:embed="rId3"/>
        <a:stretch>
          <a:fillRect/>
        </a:stretch>
      </xdr:blipFill>
      <xdr:spPr>
        <a:xfrm>
          <a:off x="1425575" y="4473713"/>
          <a:ext cx="1114425" cy="804324"/>
        </a:xfrm>
        <a:prstGeom prst="rect">
          <a:avLst/>
        </a:prstGeom>
      </xdr:spPr>
    </xdr:pic>
    <xdr:clientData/>
  </xdr:twoCellAnchor>
  <xdr:twoCellAnchor editAs="oneCell">
    <xdr:from>
      <xdr:col>4</xdr:col>
      <xdr:colOff>266700</xdr:colOff>
      <xdr:row>10</xdr:row>
      <xdr:rowOff>106094</xdr:rowOff>
    </xdr:from>
    <xdr:to>
      <xdr:col>5</xdr:col>
      <xdr:colOff>482600</xdr:colOff>
      <xdr:row>13</xdr:row>
      <xdr:rowOff>74132</xdr:rowOff>
    </xdr:to>
    <xdr:pic>
      <xdr:nvPicPr>
        <xdr:cNvPr id="12" name="Imagine 11">
          <a:extLst>
            <a:ext uri="{FF2B5EF4-FFF2-40B4-BE49-F238E27FC236}">
              <a16:creationId xmlns:a16="http://schemas.microsoft.com/office/drawing/2014/main" id="{C4E4B9CB-31CB-D51F-3C98-A5A3D9879FDA}"/>
            </a:ext>
          </a:extLst>
        </xdr:cNvPr>
        <xdr:cNvPicPr>
          <a:picLocks noChangeAspect="1"/>
        </xdr:cNvPicPr>
      </xdr:nvPicPr>
      <xdr:blipFill>
        <a:blip xmlns:r="http://schemas.openxmlformats.org/officeDocument/2006/relationships" r:embed="rId4"/>
        <a:stretch>
          <a:fillRect/>
        </a:stretch>
      </xdr:blipFill>
      <xdr:spPr>
        <a:xfrm>
          <a:off x="6172200" y="3754169"/>
          <a:ext cx="628650" cy="568113"/>
        </a:xfrm>
        <a:prstGeom prst="rect">
          <a:avLst/>
        </a:prstGeom>
      </xdr:spPr>
    </xdr:pic>
    <xdr:clientData/>
  </xdr:twoCellAnchor>
  <xdr:twoCellAnchor editAs="oneCell">
    <xdr:from>
      <xdr:col>5</xdr:col>
      <xdr:colOff>104775</xdr:colOff>
      <xdr:row>13</xdr:row>
      <xdr:rowOff>82550</xdr:rowOff>
    </xdr:from>
    <xdr:to>
      <xdr:col>6</xdr:col>
      <xdr:colOff>82550</xdr:colOff>
      <xdr:row>16</xdr:row>
      <xdr:rowOff>76199</xdr:rowOff>
    </xdr:to>
    <xdr:pic>
      <xdr:nvPicPr>
        <xdr:cNvPr id="7" name="Picture 2" descr="https://www.magnumheating.ro/editor/file/190061/ETN4.jpg">
          <a:extLst>
            <a:ext uri="{FF2B5EF4-FFF2-40B4-BE49-F238E27FC236}">
              <a16:creationId xmlns:a16="http://schemas.microsoft.com/office/drawing/2014/main" id="{1A951A8A-E82D-467A-B408-5F46BDBF8ED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419850" y="4330700"/>
          <a:ext cx="685800" cy="1127124"/>
        </a:xfrm>
        <a:prstGeom prst="rect">
          <a:avLst/>
        </a:prstGeom>
        <a:noFill/>
      </xdr:spPr>
    </xdr:pic>
    <xdr:clientData/>
  </xdr:twoCellAnchor>
  <xdr:twoCellAnchor editAs="oneCell">
    <xdr:from>
      <xdr:col>2</xdr:col>
      <xdr:colOff>1759626</xdr:colOff>
      <xdr:row>13</xdr:row>
      <xdr:rowOff>88898</xdr:rowOff>
    </xdr:from>
    <xdr:to>
      <xdr:col>2</xdr:col>
      <xdr:colOff>2627546</xdr:colOff>
      <xdr:row>14</xdr:row>
      <xdr:rowOff>41273</xdr:rowOff>
    </xdr:to>
    <xdr:pic>
      <xdr:nvPicPr>
        <xdr:cNvPr id="6" name="Imagine 5">
          <a:extLst>
            <a:ext uri="{FF2B5EF4-FFF2-40B4-BE49-F238E27FC236}">
              <a16:creationId xmlns:a16="http://schemas.microsoft.com/office/drawing/2014/main" id="{B19CB13C-42AB-1C37-3424-C4FA64D32423}"/>
            </a:ext>
          </a:extLst>
        </xdr:cNvPr>
        <xdr:cNvPicPr>
          <a:picLocks noChangeAspect="1"/>
        </xdr:cNvPicPr>
      </xdr:nvPicPr>
      <xdr:blipFill>
        <a:blip xmlns:r="http://schemas.openxmlformats.org/officeDocument/2006/relationships" r:embed="rId6"/>
        <a:stretch>
          <a:fillRect/>
        </a:stretch>
      </xdr:blipFill>
      <xdr:spPr>
        <a:xfrm rot="21377398">
          <a:off x="2769276" y="4337048"/>
          <a:ext cx="867920" cy="447675"/>
        </a:xfrm>
        <a:prstGeom prst="rect">
          <a:avLst/>
        </a:prstGeom>
      </xdr:spPr>
    </xdr:pic>
    <xdr:clientData/>
  </xdr:twoCellAnchor>
  <xdr:twoCellAnchor editAs="oneCell">
    <xdr:from>
      <xdr:col>6</xdr:col>
      <xdr:colOff>152402</xdr:colOff>
      <xdr:row>13</xdr:row>
      <xdr:rowOff>120651</xdr:rowOff>
    </xdr:from>
    <xdr:to>
      <xdr:col>6</xdr:col>
      <xdr:colOff>626480</xdr:colOff>
      <xdr:row>15</xdr:row>
      <xdr:rowOff>133350</xdr:rowOff>
    </xdr:to>
    <xdr:pic>
      <xdr:nvPicPr>
        <xdr:cNvPr id="4" name="Imagine 10">
          <a:extLst>
            <a:ext uri="{FF2B5EF4-FFF2-40B4-BE49-F238E27FC236}">
              <a16:creationId xmlns:a16="http://schemas.microsoft.com/office/drawing/2014/main" id="{EDF3F7CE-E366-484A-B16A-5D2EDEEB03EE}"/>
            </a:ext>
          </a:extLst>
        </xdr:cNvPr>
        <xdr:cNvPicPr>
          <a:picLocks noChangeAspect="1"/>
        </xdr:cNvPicPr>
      </xdr:nvPicPr>
      <xdr:blipFill>
        <a:blip xmlns:r="http://schemas.openxmlformats.org/officeDocument/2006/relationships" r:embed="rId7"/>
        <a:stretch>
          <a:fillRect/>
        </a:stretch>
      </xdr:blipFill>
      <xdr:spPr>
        <a:xfrm>
          <a:off x="7172327" y="4368801"/>
          <a:ext cx="474078" cy="1003299"/>
        </a:xfrm>
        <a:prstGeom prst="rect">
          <a:avLst/>
        </a:prstGeom>
      </xdr:spPr>
    </xdr:pic>
    <xdr:clientData/>
  </xdr:twoCellAnchor>
  <xdr:twoCellAnchor editAs="oneCell">
    <xdr:from>
      <xdr:col>0</xdr:col>
      <xdr:colOff>0</xdr:colOff>
      <xdr:row>13</xdr:row>
      <xdr:rowOff>247650</xdr:rowOff>
    </xdr:from>
    <xdr:to>
      <xdr:col>2</xdr:col>
      <xdr:colOff>333374</xdr:colOff>
      <xdr:row>16</xdr:row>
      <xdr:rowOff>65907</xdr:rowOff>
    </xdr:to>
    <xdr:pic>
      <xdr:nvPicPr>
        <xdr:cNvPr id="10" name="Picture 9">
          <a:extLst>
            <a:ext uri="{FF2B5EF4-FFF2-40B4-BE49-F238E27FC236}">
              <a16:creationId xmlns:a16="http://schemas.microsoft.com/office/drawing/2014/main" id="{6C763F02-8A67-4935-B4ED-7F497041E692}"/>
            </a:ext>
          </a:extLst>
        </xdr:cNvPr>
        <xdr:cNvPicPr>
          <a:picLocks noChangeAspect="1"/>
        </xdr:cNvPicPr>
      </xdr:nvPicPr>
      <xdr:blipFill>
        <a:blip xmlns:r="http://schemas.openxmlformats.org/officeDocument/2006/relationships" r:embed="rId8"/>
        <a:stretch>
          <a:fillRect/>
        </a:stretch>
      </xdr:blipFill>
      <xdr:spPr>
        <a:xfrm>
          <a:off x="0" y="4495800"/>
          <a:ext cx="1346199" cy="954907"/>
        </a:xfrm>
        <a:prstGeom prst="rect">
          <a:avLst/>
        </a:prstGeom>
      </xdr:spPr>
    </xdr:pic>
    <xdr:clientData/>
  </xdr:twoCellAnchor>
  <xdr:twoCellAnchor editAs="oneCell">
    <xdr:from>
      <xdr:col>0</xdr:col>
      <xdr:colOff>209550</xdr:colOff>
      <xdr:row>12</xdr:row>
      <xdr:rowOff>142875</xdr:rowOff>
    </xdr:from>
    <xdr:to>
      <xdr:col>1</xdr:col>
      <xdr:colOff>428625</xdr:colOff>
      <xdr:row>13</xdr:row>
      <xdr:rowOff>345569</xdr:rowOff>
    </xdr:to>
    <xdr:pic>
      <xdr:nvPicPr>
        <xdr:cNvPr id="8" name="Picture 7">
          <a:extLst>
            <a:ext uri="{FF2B5EF4-FFF2-40B4-BE49-F238E27FC236}">
              <a16:creationId xmlns:a16="http://schemas.microsoft.com/office/drawing/2014/main" id="{DB2EE617-5B68-4484-A4C8-9323CA51814D}"/>
            </a:ext>
          </a:extLst>
        </xdr:cNvPr>
        <xdr:cNvPicPr>
          <a:picLocks noChangeAspect="1"/>
        </xdr:cNvPicPr>
      </xdr:nvPicPr>
      <xdr:blipFill>
        <a:blip xmlns:r="http://schemas.openxmlformats.org/officeDocument/2006/relationships" r:embed="rId9"/>
        <a:stretch>
          <a:fillRect/>
        </a:stretch>
      </xdr:blipFill>
      <xdr:spPr>
        <a:xfrm>
          <a:off x="209550" y="4191000"/>
          <a:ext cx="587375" cy="402719"/>
        </a:xfrm>
        <a:prstGeom prst="rect">
          <a:avLst/>
        </a:prstGeom>
      </xdr:spPr>
    </xdr:pic>
    <xdr:clientData/>
  </xdr:twoCellAnchor>
  <xdr:twoCellAnchor editAs="oneCell">
    <xdr:from>
      <xdr:col>3</xdr:col>
      <xdr:colOff>38099</xdr:colOff>
      <xdr:row>13</xdr:row>
      <xdr:rowOff>158750</xdr:rowOff>
    </xdr:from>
    <xdr:to>
      <xdr:col>5</xdr:col>
      <xdr:colOff>123824</xdr:colOff>
      <xdr:row>16</xdr:row>
      <xdr:rowOff>49607</xdr:rowOff>
    </xdr:to>
    <xdr:pic>
      <xdr:nvPicPr>
        <xdr:cNvPr id="13" name="Imagine 48" descr="terneo sneg + OSA">
          <a:extLst>
            <a:ext uri="{FF2B5EF4-FFF2-40B4-BE49-F238E27FC236}">
              <a16:creationId xmlns:a16="http://schemas.microsoft.com/office/drawing/2014/main" id="{CFF58741-CED3-4BF3-BB56-CEB1DEE5108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62574" y="4406900"/>
          <a:ext cx="1079500" cy="1021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1762125</xdr:colOff>
      <xdr:row>14</xdr:row>
      <xdr:rowOff>92075</xdr:rowOff>
    </xdr:from>
    <xdr:to>
      <xdr:col>2</xdr:col>
      <xdr:colOff>2639570</xdr:colOff>
      <xdr:row>15</xdr:row>
      <xdr:rowOff>57150</xdr:rowOff>
    </xdr:to>
    <xdr:pic>
      <xdr:nvPicPr>
        <xdr:cNvPr id="15" name="Imagine 5">
          <a:extLst>
            <a:ext uri="{FF2B5EF4-FFF2-40B4-BE49-F238E27FC236}">
              <a16:creationId xmlns:a16="http://schemas.microsoft.com/office/drawing/2014/main" id="{B5392CE2-D25E-403D-A5A7-013BF49F761C}"/>
            </a:ext>
          </a:extLst>
        </xdr:cNvPr>
        <xdr:cNvPicPr>
          <a:picLocks noChangeAspect="1"/>
        </xdr:cNvPicPr>
      </xdr:nvPicPr>
      <xdr:blipFill>
        <a:blip xmlns:r="http://schemas.openxmlformats.org/officeDocument/2006/relationships" r:embed="rId6"/>
        <a:stretch>
          <a:fillRect/>
        </a:stretch>
      </xdr:blipFill>
      <xdr:spPr>
        <a:xfrm rot="21377398">
          <a:off x="2771775" y="4835525"/>
          <a:ext cx="874270" cy="460375"/>
        </a:xfrm>
        <a:prstGeom prst="rect">
          <a:avLst/>
        </a:prstGeom>
      </xdr:spPr>
    </xdr:pic>
    <xdr:clientData/>
  </xdr:twoCellAnchor>
  <xdr:twoCellAnchor editAs="oneCell">
    <xdr:from>
      <xdr:col>9</xdr:col>
      <xdr:colOff>57150</xdr:colOff>
      <xdr:row>13</xdr:row>
      <xdr:rowOff>123825</xdr:rowOff>
    </xdr:from>
    <xdr:to>
      <xdr:col>10</xdr:col>
      <xdr:colOff>316754</xdr:colOff>
      <xdr:row>14</xdr:row>
      <xdr:rowOff>225425</xdr:rowOff>
    </xdr:to>
    <xdr:pic>
      <xdr:nvPicPr>
        <xdr:cNvPr id="11" name="Picture 10">
          <a:extLst>
            <a:ext uri="{FF2B5EF4-FFF2-40B4-BE49-F238E27FC236}">
              <a16:creationId xmlns:a16="http://schemas.microsoft.com/office/drawing/2014/main" id="{1D481F3A-42B2-D00B-9DEF-6AB9F560417E}"/>
            </a:ext>
          </a:extLst>
        </xdr:cNvPr>
        <xdr:cNvPicPr>
          <a:picLocks noChangeAspect="1"/>
        </xdr:cNvPicPr>
      </xdr:nvPicPr>
      <xdr:blipFill>
        <a:blip xmlns:r="http://schemas.openxmlformats.org/officeDocument/2006/relationships" r:embed="rId11"/>
        <a:stretch>
          <a:fillRect/>
        </a:stretch>
      </xdr:blipFill>
      <xdr:spPr>
        <a:xfrm>
          <a:off x="8886825" y="4371975"/>
          <a:ext cx="1040654" cy="596900"/>
        </a:xfrm>
        <a:prstGeom prst="rect">
          <a:avLst/>
        </a:prstGeom>
      </xdr:spPr>
    </xdr:pic>
    <xdr:clientData/>
  </xdr:twoCellAnchor>
  <xdr:twoCellAnchor editAs="oneCell">
    <xdr:from>
      <xdr:col>10</xdr:col>
      <xdr:colOff>438150</xdr:colOff>
      <xdr:row>13</xdr:row>
      <xdr:rowOff>1</xdr:rowOff>
    </xdr:from>
    <xdr:to>
      <xdr:col>11</xdr:col>
      <xdr:colOff>228600</xdr:colOff>
      <xdr:row>14</xdr:row>
      <xdr:rowOff>391405</xdr:rowOff>
    </xdr:to>
    <xdr:pic>
      <xdr:nvPicPr>
        <xdr:cNvPr id="14" name="Picture 13">
          <a:extLst>
            <a:ext uri="{FF2B5EF4-FFF2-40B4-BE49-F238E27FC236}">
              <a16:creationId xmlns:a16="http://schemas.microsoft.com/office/drawing/2014/main" id="{FEEC392C-628D-AF56-8F22-F6014DA34E3C}"/>
            </a:ext>
          </a:extLst>
        </xdr:cNvPr>
        <xdr:cNvPicPr>
          <a:picLocks noChangeAspect="1"/>
        </xdr:cNvPicPr>
      </xdr:nvPicPr>
      <xdr:blipFill>
        <a:blip xmlns:r="http://schemas.openxmlformats.org/officeDocument/2006/relationships" r:embed="rId12"/>
        <a:stretch>
          <a:fillRect/>
        </a:stretch>
      </xdr:blipFill>
      <xdr:spPr>
        <a:xfrm>
          <a:off x="10048875" y="4248151"/>
          <a:ext cx="571500" cy="889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114300</xdr:rowOff>
    </xdr:from>
    <xdr:to>
      <xdr:col>2</xdr:col>
      <xdr:colOff>619125</xdr:colOff>
      <xdr:row>0</xdr:row>
      <xdr:rowOff>1543050</xdr:rowOff>
    </xdr:to>
    <xdr:pic>
      <xdr:nvPicPr>
        <xdr:cNvPr id="2" name="Imagine 1">
          <a:extLst>
            <a:ext uri="{FF2B5EF4-FFF2-40B4-BE49-F238E27FC236}">
              <a16:creationId xmlns:a16="http://schemas.microsoft.com/office/drawing/2014/main" id="{971BB26B-0B4C-4CD8-9E38-9D10BFC563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524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2276475</xdr:colOff>
      <xdr:row>14</xdr:row>
      <xdr:rowOff>96960</xdr:rowOff>
    </xdr:from>
    <xdr:to>
      <xdr:col>2</xdr:col>
      <xdr:colOff>4038600</xdr:colOff>
      <xdr:row>15</xdr:row>
      <xdr:rowOff>410503</xdr:rowOff>
    </xdr:to>
    <xdr:pic>
      <xdr:nvPicPr>
        <xdr:cNvPr id="4" name="Imagine 3">
          <a:extLst>
            <a:ext uri="{FF2B5EF4-FFF2-40B4-BE49-F238E27FC236}">
              <a16:creationId xmlns:a16="http://schemas.microsoft.com/office/drawing/2014/main" id="{F01D4BEE-4890-428E-92B4-321BED841C20}"/>
            </a:ext>
          </a:extLst>
        </xdr:cNvPr>
        <xdr:cNvPicPr>
          <a:picLocks noChangeAspect="1"/>
        </xdr:cNvPicPr>
      </xdr:nvPicPr>
      <xdr:blipFill>
        <a:blip xmlns:r="http://schemas.openxmlformats.org/officeDocument/2006/relationships" r:embed="rId2"/>
        <a:stretch>
          <a:fillRect/>
        </a:stretch>
      </xdr:blipFill>
      <xdr:spPr>
        <a:xfrm>
          <a:off x="3333750" y="4507035"/>
          <a:ext cx="1762125" cy="827893"/>
        </a:xfrm>
        <a:prstGeom prst="rect">
          <a:avLst/>
        </a:prstGeom>
      </xdr:spPr>
    </xdr:pic>
    <xdr:clientData/>
  </xdr:twoCellAnchor>
  <xdr:twoCellAnchor editAs="oneCell">
    <xdr:from>
      <xdr:col>2</xdr:col>
      <xdr:colOff>406401</xdr:colOff>
      <xdr:row>14</xdr:row>
      <xdr:rowOff>85863</xdr:rowOff>
    </xdr:from>
    <xdr:to>
      <xdr:col>2</xdr:col>
      <xdr:colOff>1416051</xdr:colOff>
      <xdr:row>15</xdr:row>
      <xdr:rowOff>293867</xdr:rowOff>
    </xdr:to>
    <xdr:pic>
      <xdr:nvPicPr>
        <xdr:cNvPr id="5" name="Imagine 4">
          <a:extLst>
            <a:ext uri="{FF2B5EF4-FFF2-40B4-BE49-F238E27FC236}">
              <a16:creationId xmlns:a16="http://schemas.microsoft.com/office/drawing/2014/main" id="{B480FC58-9946-4D2C-83BD-AB6B1161188B}"/>
            </a:ext>
          </a:extLst>
        </xdr:cNvPr>
        <xdr:cNvPicPr>
          <a:picLocks noChangeAspect="1"/>
        </xdr:cNvPicPr>
      </xdr:nvPicPr>
      <xdr:blipFill>
        <a:blip xmlns:r="http://schemas.openxmlformats.org/officeDocument/2006/relationships" r:embed="rId3"/>
        <a:stretch>
          <a:fillRect/>
        </a:stretch>
      </xdr:blipFill>
      <xdr:spPr>
        <a:xfrm>
          <a:off x="1463676" y="4495938"/>
          <a:ext cx="1009650" cy="722354"/>
        </a:xfrm>
        <a:prstGeom prst="rect">
          <a:avLst/>
        </a:prstGeom>
      </xdr:spPr>
    </xdr:pic>
    <xdr:clientData/>
  </xdr:twoCellAnchor>
  <xdr:twoCellAnchor editAs="oneCell">
    <xdr:from>
      <xdr:col>2</xdr:col>
      <xdr:colOff>1416050</xdr:colOff>
      <xdr:row>14</xdr:row>
      <xdr:rowOff>473075</xdr:rowOff>
    </xdr:from>
    <xdr:to>
      <xdr:col>2</xdr:col>
      <xdr:colOff>2324220</xdr:colOff>
      <xdr:row>15</xdr:row>
      <xdr:rowOff>390585</xdr:rowOff>
    </xdr:to>
    <xdr:pic>
      <xdr:nvPicPr>
        <xdr:cNvPr id="11" name="Imagine 10">
          <a:extLst>
            <a:ext uri="{FF2B5EF4-FFF2-40B4-BE49-F238E27FC236}">
              <a16:creationId xmlns:a16="http://schemas.microsoft.com/office/drawing/2014/main" id="{651D1F18-3D5D-436D-B42A-7A2D1A511FA5}"/>
            </a:ext>
          </a:extLst>
        </xdr:cNvPr>
        <xdr:cNvPicPr>
          <a:picLocks noChangeAspect="1"/>
        </xdr:cNvPicPr>
      </xdr:nvPicPr>
      <xdr:blipFill>
        <a:blip xmlns:r="http://schemas.openxmlformats.org/officeDocument/2006/relationships" r:embed="rId4"/>
        <a:stretch>
          <a:fillRect/>
        </a:stretch>
      </xdr:blipFill>
      <xdr:spPr>
        <a:xfrm>
          <a:off x="2473325" y="4883150"/>
          <a:ext cx="908170" cy="431860"/>
        </a:xfrm>
        <a:prstGeom prst="rect">
          <a:avLst/>
        </a:prstGeom>
      </xdr:spPr>
    </xdr:pic>
    <xdr:clientData/>
  </xdr:twoCellAnchor>
  <xdr:twoCellAnchor editAs="oneCell">
    <xdr:from>
      <xdr:col>2</xdr:col>
      <xdr:colOff>3606800</xdr:colOff>
      <xdr:row>14</xdr:row>
      <xdr:rowOff>390525</xdr:rowOff>
    </xdr:from>
    <xdr:to>
      <xdr:col>3</xdr:col>
      <xdr:colOff>95250</xdr:colOff>
      <xdr:row>16</xdr:row>
      <xdr:rowOff>35489</xdr:rowOff>
    </xdr:to>
    <xdr:pic>
      <xdr:nvPicPr>
        <xdr:cNvPr id="12" name="Imagine 11">
          <a:extLst>
            <a:ext uri="{FF2B5EF4-FFF2-40B4-BE49-F238E27FC236}">
              <a16:creationId xmlns:a16="http://schemas.microsoft.com/office/drawing/2014/main" id="{943CAAEE-7FD7-4506-9B60-02893EF1C4F3}"/>
            </a:ext>
          </a:extLst>
        </xdr:cNvPr>
        <xdr:cNvPicPr>
          <a:picLocks noChangeAspect="1"/>
        </xdr:cNvPicPr>
      </xdr:nvPicPr>
      <xdr:blipFill>
        <a:blip xmlns:r="http://schemas.openxmlformats.org/officeDocument/2006/relationships" r:embed="rId5"/>
        <a:stretch>
          <a:fillRect/>
        </a:stretch>
      </xdr:blipFill>
      <xdr:spPr>
        <a:xfrm>
          <a:off x="4664075" y="4800600"/>
          <a:ext cx="784225" cy="683189"/>
        </a:xfrm>
        <a:prstGeom prst="rect">
          <a:avLst/>
        </a:prstGeom>
      </xdr:spPr>
    </xdr:pic>
    <xdr:clientData/>
  </xdr:twoCellAnchor>
  <xdr:twoCellAnchor editAs="oneCell">
    <xdr:from>
      <xdr:col>5</xdr:col>
      <xdr:colOff>209550</xdr:colOff>
      <xdr:row>14</xdr:row>
      <xdr:rowOff>0</xdr:rowOff>
    </xdr:from>
    <xdr:to>
      <xdr:col>6</xdr:col>
      <xdr:colOff>190500</xdr:colOff>
      <xdr:row>16</xdr:row>
      <xdr:rowOff>85724</xdr:rowOff>
    </xdr:to>
    <xdr:pic>
      <xdr:nvPicPr>
        <xdr:cNvPr id="13" name="Picture 2" descr="https://www.magnumheating.ro/editor/file/190061/ETN4.jpg">
          <a:extLst>
            <a:ext uri="{FF2B5EF4-FFF2-40B4-BE49-F238E27FC236}">
              <a16:creationId xmlns:a16="http://schemas.microsoft.com/office/drawing/2014/main" id="{DA166D0B-D45F-4A2B-AD88-A4967DD15FA5}"/>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591300" y="4410075"/>
          <a:ext cx="685800" cy="1123949"/>
        </a:xfrm>
        <a:prstGeom prst="rect">
          <a:avLst/>
        </a:prstGeom>
        <a:noFill/>
      </xdr:spPr>
    </xdr:pic>
    <xdr:clientData/>
  </xdr:twoCellAnchor>
  <xdr:twoCellAnchor editAs="oneCell">
    <xdr:from>
      <xdr:col>0</xdr:col>
      <xdr:colOff>38099</xdr:colOff>
      <xdr:row>14</xdr:row>
      <xdr:rowOff>120650</xdr:rowOff>
    </xdr:from>
    <xdr:to>
      <xdr:col>2</xdr:col>
      <xdr:colOff>361950</xdr:colOff>
      <xdr:row>15</xdr:row>
      <xdr:rowOff>331288</xdr:rowOff>
    </xdr:to>
    <xdr:pic>
      <xdr:nvPicPr>
        <xdr:cNvPr id="14" name="Imagine 13">
          <a:extLst>
            <a:ext uri="{FF2B5EF4-FFF2-40B4-BE49-F238E27FC236}">
              <a16:creationId xmlns:a16="http://schemas.microsoft.com/office/drawing/2014/main" id="{1B66DB6A-7CF3-75B4-A917-16AC0840E705}"/>
            </a:ext>
          </a:extLst>
        </xdr:cNvPr>
        <xdr:cNvPicPr>
          <a:picLocks noChangeAspect="1"/>
        </xdr:cNvPicPr>
      </xdr:nvPicPr>
      <xdr:blipFill>
        <a:blip xmlns:r="http://schemas.openxmlformats.org/officeDocument/2006/relationships" r:embed="rId7"/>
        <a:stretch>
          <a:fillRect/>
        </a:stretch>
      </xdr:blipFill>
      <xdr:spPr>
        <a:xfrm>
          <a:off x="38099" y="4530725"/>
          <a:ext cx="1381126" cy="724988"/>
        </a:xfrm>
        <a:prstGeom prst="rect">
          <a:avLst/>
        </a:prstGeom>
      </xdr:spPr>
    </xdr:pic>
    <xdr:clientData/>
  </xdr:twoCellAnchor>
  <xdr:twoCellAnchor editAs="oneCell">
    <xdr:from>
      <xdr:col>6</xdr:col>
      <xdr:colOff>196850</xdr:colOff>
      <xdr:row>14</xdr:row>
      <xdr:rowOff>44450</xdr:rowOff>
    </xdr:from>
    <xdr:to>
      <xdr:col>6</xdr:col>
      <xdr:colOff>695325</xdr:colOff>
      <xdr:row>15</xdr:row>
      <xdr:rowOff>516416</xdr:rowOff>
    </xdr:to>
    <xdr:pic>
      <xdr:nvPicPr>
        <xdr:cNvPr id="3" name="Imagine 10">
          <a:extLst>
            <a:ext uri="{FF2B5EF4-FFF2-40B4-BE49-F238E27FC236}">
              <a16:creationId xmlns:a16="http://schemas.microsoft.com/office/drawing/2014/main" id="{F8CDDC89-B67C-4272-A1C7-5FEF080C07BC}"/>
            </a:ext>
          </a:extLst>
        </xdr:cNvPr>
        <xdr:cNvPicPr>
          <a:picLocks noChangeAspect="1"/>
        </xdr:cNvPicPr>
      </xdr:nvPicPr>
      <xdr:blipFill>
        <a:blip xmlns:r="http://schemas.openxmlformats.org/officeDocument/2006/relationships" r:embed="rId8"/>
        <a:stretch>
          <a:fillRect/>
        </a:stretch>
      </xdr:blipFill>
      <xdr:spPr>
        <a:xfrm>
          <a:off x="7283450" y="4454525"/>
          <a:ext cx="498475" cy="986316"/>
        </a:xfrm>
        <a:prstGeom prst="rect">
          <a:avLst/>
        </a:prstGeom>
      </xdr:spPr>
    </xdr:pic>
    <xdr:clientData/>
  </xdr:twoCellAnchor>
  <xdr:twoCellAnchor editAs="oneCell">
    <xdr:from>
      <xdr:col>2</xdr:col>
      <xdr:colOff>1482725</xdr:colOff>
      <xdr:row>13</xdr:row>
      <xdr:rowOff>120650</xdr:rowOff>
    </xdr:from>
    <xdr:to>
      <xdr:col>2</xdr:col>
      <xdr:colOff>2339975</xdr:colOff>
      <xdr:row>14</xdr:row>
      <xdr:rowOff>320696</xdr:rowOff>
    </xdr:to>
    <xdr:pic>
      <xdr:nvPicPr>
        <xdr:cNvPr id="6" name="Picture 5">
          <a:extLst>
            <a:ext uri="{FF2B5EF4-FFF2-40B4-BE49-F238E27FC236}">
              <a16:creationId xmlns:a16="http://schemas.microsoft.com/office/drawing/2014/main" id="{4CE660CA-9203-4008-A9F4-1F438B63A218}"/>
            </a:ext>
          </a:extLst>
        </xdr:cNvPr>
        <xdr:cNvPicPr>
          <a:picLocks noChangeAspect="1"/>
        </xdr:cNvPicPr>
      </xdr:nvPicPr>
      <xdr:blipFill>
        <a:blip xmlns:r="http://schemas.openxmlformats.org/officeDocument/2006/relationships" r:embed="rId9"/>
        <a:stretch>
          <a:fillRect/>
        </a:stretch>
      </xdr:blipFill>
      <xdr:spPr>
        <a:xfrm>
          <a:off x="2540000" y="4378325"/>
          <a:ext cx="857250" cy="352446"/>
        </a:xfrm>
        <a:prstGeom prst="rect">
          <a:avLst/>
        </a:prstGeom>
      </xdr:spPr>
    </xdr:pic>
    <xdr:clientData/>
  </xdr:twoCellAnchor>
  <xdr:twoCellAnchor editAs="oneCell">
    <xdr:from>
      <xdr:col>2</xdr:col>
      <xdr:colOff>3740150</xdr:colOff>
      <xdr:row>13</xdr:row>
      <xdr:rowOff>133350</xdr:rowOff>
    </xdr:from>
    <xdr:to>
      <xdr:col>3</xdr:col>
      <xdr:colOff>92075</xdr:colOff>
      <xdr:row>14</xdr:row>
      <xdr:rowOff>416726</xdr:rowOff>
    </xdr:to>
    <xdr:pic>
      <xdr:nvPicPr>
        <xdr:cNvPr id="9" name="Picture 8">
          <a:extLst>
            <a:ext uri="{FF2B5EF4-FFF2-40B4-BE49-F238E27FC236}">
              <a16:creationId xmlns:a16="http://schemas.microsoft.com/office/drawing/2014/main" id="{EAD3DB06-5A42-4043-95D9-988489EAA2BD}"/>
            </a:ext>
          </a:extLst>
        </xdr:cNvPr>
        <xdr:cNvPicPr>
          <a:picLocks noChangeAspect="1"/>
        </xdr:cNvPicPr>
      </xdr:nvPicPr>
      <xdr:blipFill>
        <a:blip xmlns:r="http://schemas.openxmlformats.org/officeDocument/2006/relationships" r:embed="rId10"/>
        <a:stretch>
          <a:fillRect/>
        </a:stretch>
      </xdr:blipFill>
      <xdr:spPr>
        <a:xfrm>
          <a:off x="4797425" y="4391025"/>
          <a:ext cx="647700" cy="435776"/>
        </a:xfrm>
        <a:prstGeom prst="rect">
          <a:avLst/>
        </a:prstGeom>
      </xdr:spPr>
    </xdr:pic>
    <xdr:clientData/>
  </xdr:twoCellAnchor>
  <xdr:twoCellAnchor editAs="oneCell">
    <xdr:from>
      <xdr:col>3</xdr:col>
      <xdr:colOff>206375</xdr:colOff>
      <xdr:row>14</xdr:row>
      <xdr:rowOff>28575</xdr:rowOff>
    </xdr:from>
    <xdr:to>
      <xdr:col>5</xdr:col>
      <xdr:colOff>257175</xdr:colOff>
      <xdr:row>16</xdr:row>
      <xdr:rowOff>11507</xdr:rowOff>
    </xdr:to>
    <xdr:pic>
      <xdr:nvPicPr>
        <xdr:cNvPr id="10" name="Imagine 48" descr="terneo sneg + OSA">
          <a:extLst>
            <a:ext uri="{FF2B5EF4-FFF2-40B4-BE49-F238E27FC236}">
              <a16:creationId xmlns:a16="http://schemas.microsoft.com/office/drawing/2014/main" id="{DFB2D654-8BAF-4ABA-9AE1-17155207F73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59425" y="4438650"/>
          <a:ext cx="1079500" cy="1021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561975</xdr:colOff>
      <xdr:row>13</xdr:row>
      <xdr:rowOff>95250</xdr:rowOff>
    </xdr:from>
    <xdr:to>
      <xdr:col>10</xdr:col>
      <xdr:colOff>227854</xdr:colOff>
      <xdr:row>15</xdr:row>
      <xdr:rowOff>28575</xdr:rowOff>
    </xdr:to>
    <xdr:pic>
      <xdr:nvPicPr>
        <xdr:cNvPr id="8" name="Picture 7">
          <a:extLst>
            <a:ext uri="{FF2B5EF4-FFF2-40B4-BE49-F238E27FC236}">
              <a16:creationId xmlns:a16="http://schemas.microsoft.com/office/drawing/2014/main" id="{1C853579-5989-438C-9960-86AEEBA9C215}"/>
            </a:ext>
          </a:extLst>
        </xdr:cNvPr>
        <xdr:cNvPicPr>
          <a:picLocks noChangeAspect="1"/>
        </xdr:cNvPicPr>
      </xdr:nvPicPr>
      <xdr:blipFill>
        <a:blip xmlns:r="http://schemas.openxmlformats.org/officeDocument/2006/relationships" r:embed="rId12"/>
        <a:stretch>
          <a:fillRect/>
        </a:stretch>
      </xdr:blipFill>
      <xdr:spPr>
        <a:xfrm>
          <a:off x="8782050" y="4352925"/>
          <a:ext cx="1037479" cy="596900"/>
        </a:xfrm>
        <a:prstGeom prst="rect">
          <a:avLst/>
        </a:prstGeom>
      </xdr:spPr>
    </xdr:pic>
    <xdr:clientData/>
  </xdr:twoCellAnchor>
  <xdr:twoCellAnchor editAs="oneCell">
    <xdr:from>
      <xdr:col>10</xdr:col>
      <xdr:colOff>552450</xdr:colOff>
      <xdr:row>13</xdr:row>
      <xdr:rowOff>28575</xdr:rowOff>
    </xdr:from>
    <xdr:to>
      <xdr:col>11</xdr:col>
      <xdr:colOff>349559</xdr:colOff>
      <xdr:row>15</xdr:row>
      <xdr:rowOff>101600</xdr:rowOff>
    </xdr:to>
    <xdr:pic>
      <xdr:nvPicPr>
        <xdr:cNvPr id="15" name="Picture 14">
          <a:extLst>
            <a:ext uri="{FF2B5EF4-FFF2-40B4-BE49-F238E27FC236}">
              <a16:creationId xmlns:a16="http://schemas.microsoft.com/office/drawing/2014/main" id="{585930B6-90AC-4E21-9B92-FDB4D1EAB1F7}"/>
            </a:ext>
          </a:extLst>
        </xdr:cNvPr>
        <xdr:cNvPicPr>
          <a:picLocks noChangeAspect="1"/>
        </xdr:cNvPicPr>
      </xdr:nvPicPr>
      <xdr:blipFill>
        <a:blip xmlns:r="http://schemas.openxmlformats.org/officeDocument/2006/relationships" r:embed="rId13"/>
        <a:stretch>
          <a:fillRect/>
        </a:stretch>
      </xdr:blipFill>
      <xdr:spPr>
        <a:xfrm>
          <a:off x="10144125" y="4286250"/>
          <a:ext cx="476559" cy="742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114300</xdr:rowOff>
    </xdr:from>
    <xdr:to>
      <xdr:col>2</xdr:col>
      <xdr:colOff>638175</xdr:colOff>
      <xdr:row>0</xdr:row>
      <xdr:rowOff>1543050</xdr:rowOff>
    </xdr:to>
    <xdr:pic>
      <xdr:nvPicPr>
        <xdr:cNvPr id="2" name="Imagine 1">
          <a:extLst>
            <a:ext uri="{FF2B5EF4-FFF2-40B4-BE49-F238E27FC236}">
              <a16:creationId xmlns:a16="http://schemas.microsoft.com/office/drawing/2014/main" id="{5733D2EA-2C06-4D56-B00E-25AD941E50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524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2635250</xdr:colOff>
      <xdr:row>13</xdr:row>
      <xdr:rowOff>93785</xdr:rowOff>
    </xdr:from>
    <xdr:to>
      <xdr:col>3</xdr:col>
      <xdr:colOff>247650</xdr:colOff>
      <xdr:row>14</xdr:row>
      <xdr:rowOff>437122</xdr:rowOff>
    </xdr:to>
    <xdr:pic>
      <xdr:nvPicPr>
        <xdr:cNvPr id="4" name="Imagine 3">
          <a:extLst>
            <a:ext uri="{FF2B5EF4-FFF2-40B4-BE49-F238E27FC236}">
              <a16:creationId xmlns:a16="http://schemas.microsoft.com/office/drawing/2014/main" id="{08C78D1C-4817-4A67-9FDF-AF8997C25CE0}"/>
            </a:ext>
          </a:extLst>
        </xdr:cNvPr>
        <xdr:cNvPicPr>
          <a:picLocks noChangeAspect="1"/>
        </xdr:cNvPicPr>
      </xdr:nvPicPr>
      <xdr:blipFill>
        <a:blip xmlns:r="http://schemas.openxmlformats.org/officeDocument/2006/relationships" r:embed="rId2"/>
        <a:stretch>
          <a:fillRect/>
        </a:stretch>
      </xdr:blipFill>
      <xdr:spPr>
        <a:xfrm>
          <a:off x="3673475" y="4456235"/>
          <a:ext cx="1898650" cy="905312"/>
        </a:xfrm>
        <a:prstGeom prst="rect">
          <a:avLst/>
        </a:prstGeom>
      </xdr:spPr>
    </xdr:pic>
    <xdr:clientData/>
  </xdr:twoCellAnchor>
  <xdr:twoCellAnchor editAs="oneCell">
    <xdr:from>
      <xdr:col>2</xdr:col>
      <xdr:colOff>711200</xdr:colOff>
      <xdr:row>13</xdr:row>
      <xdr:rowOff>181113</xdr:rowOff>
    </xdr:from>
    <xdr:to>
      <xdr:col>2</xdr:col>
      <xdr:colOff>1752600</xdr:colOff>
      <xdr:row>14</xdr:row>
      <xdr:rowOff>373227</xdr:rowOff>
    </xdr:to>
    <xdr:pic>
      <xdr:nvPicPr>
        <xdr:cNvPr id="5" name="Imagine 4">
          <a:extLst>
            <a:ext uri="{FF2B5EF4-FFF2-40B4-BE49-F238E27FC236}">
              <a16:creationId xmlns:a16="http://schemas.microsoft.com/office/drawing/2014/main" id="{7AEBF123-D8EA-49F2-A0D6-094F4779E8D8}"/>
            </a:ext>
          </a:extLst>
        </xdr:cNvPr>
        <xdr:cNvPicPr>
          <a:picLocks noChangeAspect="1"/>
        </xdr:cNvPicPr>
      </xdr:nvPicPr>
      <xdr:blipFill>
        <a:blip xmlns:r="http://schemas.openxmlformats.org/officeDocument/2006/relationships" r:embed="rId3"/>
        <a:stretch>
          <a:fillRect/>
        </a:stretch>
      </xdr:blipFill>
      <xdr:spPr>
        <a:xfrm>
          <a:off x="1749425" y="4543563"/>
          <a:ext cx="1041400" cy="750914"/>
        </a:xfrm>
        <a:prstGeom prst="rect">
          <a:avLst/>
        </a:prstGeom>
      </xdr:spPr>
    </xdr:pic>
    <xdr:clientData/>
  </xdr:twoCellAnchor>
  <xdr:twoCellAnchor editAs="oneCell">
    <xdr:from>
      <xdr:col>0</xdr:col>
      <xdr:colOff>76200</xdr:colOff>
      <xdr:row>13</xdr:row>
      <xdr:rowOff>95250</xdr:rowOff>
    </xdr:from>
    <xdr:to>
      <xdr:col>2</xdr:col>
      <xdr:colOff>666750</xdr:colOff>
      <xdr:row>14</xdr:row>
      <xdr:rowOff>475752</xdr:rowOff>
    </xdr:to>
    <xdr:pic>
      <xdr:nvPicPr>
        <xdr:cNvPr id="10" name="Imagine 9">
          <a:extLst>
            <a:ext uri="{FF2B5EF4-FFF2-40B4-BE49-F238E27FC236}">
              <a16:creationId xmlns:a16="http://schemas.microsoft.com/office/drawing/2014/main" id="{44E1DC70-8683-0DA4-9A15-4905EC0E8D70}"/>
            </a:ext>
          </a:extLst>
        </xdr:cNvPr>
        <xdr:cNvPicPr>
          <a:picLocks noChangeAspect="1"/>
        </xdr:cNvPicPr>
      </xdr:nvPicPr>
      <xdr:blipFill>
        <a:blip xmlns:r="http://schemas.openxmlformats.org/officeDocument/2006/relationships" r:embed="rId4"/>
        <a:stretch>
          <a:fillRect/>
        </a:stretch>
      </xdr:blipFill>
      <xdr:spPr>
        <a:xfrm>
          <a:off x="76200" y="4752975"/>
          <a:ext cx="1581150" cy="942477"/>
        </a:xfrm>
        <a:prstGeom prst="rect">
          <a:avLst/>
        </a:prstGeom>
      </xdr:spPr>
    </xdr:pic>
    <xdr:clientData/>
  </xdr:twoCellAnchor>
  <xdr:twoCellAnchor editAs="oneCell">
    <xdr:from>
      <xdr:col>5</xdr:col>
      <xdr:colOff>6350</xdr:colOff>
      <xdr:row>12</xdr:row>
      <xdr:rowOff>209550</xdr:rowOff>
    </xdr:from>
    <xdr:to>
      <xdr:col>6</xdr:col>
      <xdr:colOff>19050</xdr:colOff>
      <xdr:row>15</xdr:row>
      <xdr:rowOff>47624</xdr:rowOff>
    </xdr:to>
    <xdr:pic>
      <xdr:nvPicPr>
        <xdr:cNvPr id="9" name="Picture 2" descr="https://www.magnumheating.ro/editor/file/190061/ETN4.jpg">
          <a:extLst>
            <a:ext uri="{FF2B5EF4-FFF2-40B4-BE49-F238E27FC236}">
              <a16:creationId xmlns:a16="http://schemas.microsoft.com/office/drawing/2014/main" id="{3AD04476-723A-4505-B6EB-949DA0065905}"/>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330950" y="4343400"/>
          <a:ext cx="708025" cy="1127124"/>
        </a:xfrm>
        <a:prstGeom prst="rect">
          <a:avLst/>
        </a:prstGeom>
        <a:noFill/>
      </xdr:spPr>
    </xdr:pic>
    <xdr:clientData/>
  </xdr:twoCellAnchor>
  <xdr:twoCellAnchor editAs="oneCell">
    <xdr:from>
      <xdr:col>6</xdr:col>
      <xdr:colOff>114300</xdr:colOff>
      <xdr:row>13</xdr:row>
      <xdr:rowOff>76200</xdr:rowOff>
    </xdr:from>
    <xdr:to>
      <xdr:col>6</xdr:col>
      <xdr:colOff>615950</xdr:colOff>
      <xdr:row>15</xdr:row>
      <xdr:rowOff>8416</xdr:rowOff>
    </xdr:to>
    <xdr:pic>
      <xdr:nvPicPr>
        <xdr:cNvPr id="7" name="Imagine 10">
          <a:extLst>
            <a:ext uri="{FF2B5EF4-FFF2-40B4-BE49-F238E27FC236}">
              <a16:creationId xmlns:a16="http://schemas.microsoft.com/office/drawing/2014/main" id="{1EA03101-F2E3-4F12-B7CD-F6262246611F}"/>
            </a:ext>
          </a:extLst>
        </xdr:cNvPr>
        <xdr:cNvPicPr>
          <a:picLocks noChangeAspect="1"/>
        </xdr:cNvPicPr>
      </xdr:nvPicPr>
      <xdr:blipFill>
        <a:blip xmlns:r="http://schemas.openxmlformats.org/officeDocument/2006/relationships" r:embed="rId6"/>
        <a:stretch>
          <a:fillRect/>
        </a:stretch>
      </xdr:blipFill>
      <xdr:spPr>
        <a:xfrm>
          <a:off x="7134225" y="4438650"/>
          <a:ext cx="504825" cy="992666"/>
        </a:xfrm>
        <a:prstGeom prst="rect">
          <a:avLst/>
        </a:prstGeom>
      </xdr:spPr>
    </xdr:pic>
    <xdr:clientData/>
  </xdr:twoCellAnchor>
  <xdr:twoCellAnchor editAs="oneCell">
    <xdr:from>
      <xdr:col>2</xdr:col>
      <xdr:colOff>1873250</xdr:colOff>
      <xdr:row>13</xdr:row>
      <xdr:rowOff>501650</xdr:rowOff>
    </xdr:from>
    <xdr:to>
      <xdr:col>2</xdr:col>
      <xdr:colOff>2752770</xdr:colOff>
      <xdr:row>14</xdr:row>
      <xdr:rowOff>295293</xdr:rowOff>
    </xdr:to>
    <xdr:pic>
      <xdr:nvPicPr>
        <xdr:cNvPr id="11" name="Picture 10">
          <a:extLst>
            <a:ext uri="{FF2B5EF4-FFF2-40B4-BE49-F238E27FC236}">
              <a16:creationId xmlns:a16="http://schemas.microsoft.com/office/drawing/2014/main" id="{CBFC6132-FC1F-144F-3F43-00F958D6EA7D}"/>
            </a:ext>
          </a:extLst>
        </xdr:cNvPr>
        <xdr:cNvPicPr>
          <a:picLocks noChangeAspect="1"/>
        </xdr:cNvPicPr>
      </xdr:nvPicPr>
      <xdr:blipFill>
        <a:blip xmlns:r="http://schemas.openxmlformats.org/officeDocument/2006/relationships" r:embed="rId7"/>
        <a:stretch>
          <a:fillRect/>
        </a:stretch>
      </xdr:blipFill>
      <xdr:spPr>
        <a:xfrm>
          <a:off x="2911475" y="4864100"/>
          <a:ext cx="876345" cy="352443"/>
        </a:xfrm>
        <a:prstGeom prst="rect">
          <a:avLst/>
        </a:prstGeom>
      </xdr:spPr>
    </xdr:pic>
    <xdr:clientData/>
  </xdr:twoCellAnchor>
  <xdr:twoCellAnchor editAs="oneCell">
    <xdr:from>
      <xdr:col>2</xdr:col>
      <xdr:colOff>1854200</xdr:colOff>
      <xdr:row>13</xdr:row>
      <xdr:rowOff>104773</xdr:rowOff>
    </xdr:from>
    <xdr:to>
      <xdr:col>2</xdr:col>
      <xdr:colOff>2714625</xdr:colOff>
      <xdr:row>13</xdr:row>
      <xdr:rowOff>454044</xdr:rowOff>
    </xdr:to>
    <xdr:pic>
      <xdr:nvPicPr>
        <xdr:cNvPr id="12" name="Picture 11">
          <a:extLst>
            <a:ext uri="{FF2B5EF4-FFF2-40B4-BE49-F238E27FC236}">
              <a16:creationId xmlns:a16="http://schemas.microsoft.com/office/drawing/2014/main" id="{B54923D2-F066-3FF5-7470-CB1AE7A72F5A}"/>
            </a:ext>
          </a:extLst>
        </xdr:cNvPr>
        <xdr:cNvPicPr>
          <a:picLocks noChangeAspect="1"/>
        </xdr:cNvPicPr>
      </xdr:nvPicPr>
      <xdr:blipFill>
        <a:blip xmlns:r="http://schemas.openxmlformats.org/officeDocument/2006/relationships" r:embed="rId7"/>
        <a:stretch>
          <a:fillRect/>
        </a:stretch>
      </xdr:blipFill>
      <xdr:spPr>
        <a:xfrm>
          <a:off x="2892425" y="4467223"/>
          <a:ext cx="857250" cy="349271"/>
        </a:xfrm>
        <a:prstGeom prst="rect">
          <a:avLst/>
        </a:prstGeom>
      </xdr:spPr>
    </xdr:pic>
    <xdr:clientData/>
  </xdr:twoCellAnchor>
  <xdr:twoCellAnchor editAs="oneCell">
    <xdr:from>
      <xdr:col>4</xdr:col>
      <xdr:colOff>180975</xdr:colOff>
      <xdr:row>10</xdr:row>
      <xdr:rowOff>104775</xdr:rowOff>
    </xdr:from>
    <xdr:to>
      <xdr:col>5</xdr:col>
      <xdr:colOff>455576</xdr:colOff>
      <xdr:row>12</xdr:row>
      <xdr:rowOff>139700</xdr:rowOff>
    </xdr:to>
    <xdr:pic>
      <xdr:nvPicPr>
        <xdr:cNvPr id="14" name="Picture 13">
          <a:extLst>
            <a:ext uri="{FF2B5EF4-FFF2-40B4-BE49-F238E27FC236}">
              <a16:creationId xmlns:a16="http://schemas.microsoft.com/office/drawing/2014/main" id="{FFE4C9E3-958A-4A0F-830C-82A8433803AA}"/>
            </a:ext>
          </a:extLst>
        </xdr:cNvPr>
        <xdr:cNvPicPr>
          <a:picLocks noChangeAspect="1"/>
        </xdr:cNvPicPr>
      </xdr:nvPicPr>
      <xdr:blipFill>
        <a:blip xmlns:r="http://schemas.openxmlformats.org/officeDocument/2006/relationships" r:embed="rId8"/>
        <a:stretch>
          <a:fillRect/>
        </a:stretch>
      </xdr:blipFill>
      <xdr:spPr>
        <a:xfrm>
          <a:off x="6096000" y="3810000"/>
          <a:ext cx="684176" cy="466725"/>
        </a:xfrm>
        <a:prstGeom prst="rect">
          <a:avLst/>
        </a:prstGeom>
      </xdr:spPr>
    </xdr:pic>
    <xdr:clientData/>
  </xdr:twoCellAnchor>
  <xdr:twoCellAnchor editAs="oneCell">
    <xdr:from>
      <xdr:col>2</xdr:col>
      <xdr:colOff>4191000</xdr:colOff>
      <xdr:row>13</xdr:row>
      <xdr:rowOff>76200</xdr:rowOff>
    </xdr:from>
    <xdr:to>
      <xdr:col>4</xdr:col>
      <xdr:colOff>390525</xdr:colOff>
      <xdr:row>15</xdr:row>
      <xdr:rowOff>40082</xdr:rowOff>
    </xdr:to>
    <xdr:pic>
      <xdr:nvPicPr>
        <xdr:cNvPr id="15" name="Imagine 48" descr="terneo sneg + OSA">
          <a:extLst>
            <a:ext uri="{FF2B5EF4-FFF2-40B4-BE49-F238E27FC236}">
              <a16:creationId xmlns:a16="http://schemas.microsoft.com/office/drawing/2014/main" id="{4D543C83-F6FE-4DA9-AC68-9C1AC06230E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29225" y="4438650"/>
          <a:ext cx="1073150" cy="1021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19050</xdr:rowOff>
    </xdr:from>
    <xdr:to>
      <xdr:col>10</xdr:col>
      <xdr:colOff>476559</xdr:colOff>
      <xdr:row>14</xdr:row>
      <xdr:rowOff>200025</xdr:rowOff>
    </xdr:to>
    <xdr:pic>
      <xdr:nvPicPr>
        <xdr:cNvPr id="3" name="Picture 2">
          <a:extLst>
            <a:ext uri="{FF2B5EF4-FFF2-40B4-BE49-F238E27FC236}">
              <a16:creationId xmlns:a16="http://schemas.microsoft.com/office/drawing/2014/main" id="{FAE46402-7003-4953-9A9A-D66B7506C18A}"/>
            </a:ext>
          </a:extLst>
        </xdr:cNvPr>
        <xdr:cNvPicPr>
          <a:picLocks noChangeAspect="1"/>
        </xdr:cNvPicPr>
      </xdr:nvPicPr>
      <xdr:blipFill>
        <a:blip xmlns:r="http://schemas.openxmlformats.org/officeDocument/2006/relationships" r:embed="rId10"/>
        <a:stretch>
          <a:fillRect/>
        </a:stretch>
      </xdr:blipFill>
      <xdr:spPr>
        <a:xfrm>
          <a:off x="9563100" y="4381500"/>
          <a:ext cx="476559" cy="739775"/>
        </a:xfrm>
        <a:prstGeom prst="rect">
          <a:avLst/>
        </a:prstGeom>
      </xdr:spPr>
    </xdr:pic>
    <xdr:clientData/>
  </xdr:twoCellAnchor>
  <xdr:twoCellAnchor editAs="oneCell">
    <xdr:from>
      <xdr:col>8</xdr:col>
      <xdr:colOff>215900</xdr:colOff>
      <xdr:row>13</xdr:row>
      <xdr:rowOff>76200</xdr:rowOff>
    </xdr:from>
    <xdr:to>
      <xdr:col>9</xdr:col>
      <xdr:colOff>561229</xdr:colOff>
      <xdr:row>14</xdr:row>
      <xdr:rowOff>111125</xdr:rowOff>
    </xdr:to>
    <xdr:pic>
      <xdr:nvPicPr>
        <xdr:cNvPr id="6" name="Picture 5">
          <a:extLst>
            <a:ext uri="{FF2B5EF4-FFF2-40B4-BE49-F238E27FC236}">
              <a16:creationId xmlns:a16="http://schemas.microsoft.com/office/drawing/2014/main" id="{7AC44605-5B51-497A-85D6-492EFB546832}"/>
            </a:ext>
          </a:extLst>
        </xdr:cNvPr>
        <xdr:cNvPicPr>
          <a:picLocks noChangeAspect="1"/>
        </xdr:cNvPicPr>
      </xdr:nvPicPr>
      <xdr:blipFill>
        <a:blip xmlns:r="http://schemas.openxmlformats.org/officeDocument/2006/relationships" r:embed="rId11"/>
        <a:stretch>
          <a:fillRect/>
        </a:stretch>
      </xdr:blipFill>
      <xdr:spPr>
        <a:xfrm>
          <a:off x="8388350" y="4438650"/>
          <a:ext cx="1043829" cy="596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114300</xdr:rowOff>
    </xdr:from>
    <xdr:to>
      <xdr:col>2</xdr:col>
      <xdr:colOff>635000</xdr:colOff>
      <xdr:row>0</xdr:row>
      <xdr:rowOff>1543050</xdr:rowOff>
    </xdr:to>
    <xdr:pic>
      <xdr:nvPicPr>
        <xdr:cNvPr id="2" name="Imagine 1">
          <a:extLst>
            <a:ext uri="{FF2B5EF4-FFF2-40B4-BE49-F238E27FC236}">
              <a16:creationId xmlns:a16="http://schemas.microsoft.com/office/drawing/2014/main" id="{E757AD45-5348-44D4-92ED-5D320C6CC7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524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2311400</xdr:colOff>
      <xdr:row>13</xdr:row>
      <xdr:rowOff>208085</xdr:rowOff>
    </xdr:from>
    <xdr:to>
      <xdr:col>3</xdr:col>
      <xdr:colOff>406909</xdr:colOff>
      <xdr:row>14</xdr:row>
      <xdr:rowOff>558800</xdr:rowOff>
    </xdr:to>
    <xdr:pic>
      <xdr:nvPicPr>
        <xdr:cNvPr id="4" name="Imagine 3">
          <a:extLst>
            <a:ext uri="{FF2B5EF4-FFF2-40B4-BE49-F238E27FC236}">
              <a16:creationId xmlns:a16="http://schemas.microsoft.com/office/drawing/2014/main" id="{96C39D98-F6E4-408A-9C8E-A5624A0EFE3E}"/>
            </a:ext>
          </a:extLst>
        </xdr:cNvPr>
        <xdr:cNvPicPr>
          <a:picLocks noChangeAspect="1"/>
        </xdr:cNvPicPr>
      </xdr:nvPicPr>
      <xdr:blipFill>
        <a:blip xmlns:r="http://schemas.openxmlformats.org/officeDocument/2006/relationships" r:embed="rId2"/>
        <a:stretch>
          <a:fillRect/>
        </a:stretch>
      </xdr:blipFill>
      <xdr:spPr>
        <a:xfrm>
          <a:off x="3349625" y="4446710"/>
          <a:ext cx="2362709" cy="988890"/>
        </a:xfrm>
        <a:prstGeom prst="rect">
          <a:avLst/>
        </a:prstGeom>
      </xdr:spPr>
    </xdr:pic>
    <xdr:clientData/>
  </xdr:twoCellAnchor>
  <xdr:twoCellAnchor editAs="oneCell">
    <xdr:from>
      <xdr:col>2</xdr:col>
      <xdr:colOff>685800</xdr:colOff>
      <xdr:row>13</xdr:row>
      <xdr:rowOff>282713</xdr:rowOff>
    </xdr:from>
    <xdr:to>
      <xdr:col>2</xdr:col>
      <xdr:colOff>1654175</xdr:colOff>
      <xdr:row>14</xdr:row>
      <xdr:rowOff>344031</xdr:rowOff>
    </xdr:to>
    <xdr:pic>
      <xdr:nvPicPr>
        <xdr:cNvPr id="5" name="Imagine 4">
          <a:extLst>
            <a:ext uri="{FF2B5EF4-FFF2-40B4-BE49-F238E27FC236}">
              <a16:creationId xmlns:a16="http://schemas.microsoft.com/office/drawing/2014/main" id="{06FE04A4-AC3E-462B-B728-B7259F4DE1C0}"/>
            </a:ext>
          </a:extLst>
        </xdr:cNvPr>
        <xdr:cNvPicPr>
          <a:picLocks noChangeAspect="1"/>
        </xdr:cNvPicPr>
      </xdr:nvPicPr>
      <xdr:blipFill>
        <a:blip xmlns:r="http://schemas.openxmlformats.org/officeDocument/2006/relationships" r:embed="rId3"/>
        <a:stretch>
          <a:fillRect/>
        </a:stretch>
      </xdr:blipFill>
      <xdr:spPr>
        <a:xfrm>
          <a:off x="1724025" y="4521338"/>
          <a:ext cx="968375" cy="699493"/>
        </a:xfrm>
        <a:prstGeom prst="rect">
          <a:avLst/>
        </a:prstGeom>
      </xdr:spPr>
    </xdr:pic>
    <xdr:clientData/>
  </xdr:twoCellAnchor>
  <xdr:twoCellAnchor editAs="oneCell">
    <xdr:from>
      <xdr:col>0</xdr:col>
      <xdr:colOff>0</xdr:colOff>
      <xdr:row>13</xdr:row>
      <xdr:rowOff>82550</xdr:rowOff>
    </xdr:from>
    <xdr:to>
      <xdr:col>2</xdr:col>
      <xdr:colOff>686006</xdr:colOff>
      <xdr:row>14</xdr:row>
      <xdr:rowOff>485775</xdr:rowOff>
    </xdr:to>
    <xdr:pic>
      <xdr:nvPicPr>
        <xdr:cNvPr id="9" name="Picture 8">
          <a:extLst>
            <a:ext uri="{FF2B5EF4-FFF2-40B4-BE49-F238E27FC236}">
              <a16:creationId xmlns:a16="http://schemas.microsoft.com/office/drawing/2014/main" id="{11B03DFE-276D-4DF9-AA57-4F1A5C3FDB31}"/>
            </a:ext>
          </a:extLst>
        </xdr:cNvPr>
        <xdr:cNvPicPr>
          <a:picLocks noChangeAspect="1" noChangeArrowheads="1"/>
        </xdr:cNvPicPr>
      </xdr:nvPicPr>
      <xdr:blipFill>
        <a:blip xmlns:r="http://schemas.openxmlformats.org/officeDocument/2006/relationships" r:embed="rId4"/>
        <a:srcRect/>
        <a:stretch>
          <a:fillRect/>
        </a:stretch>
      </xdr:blipFill>
      <xdr:spPr bwMode="auto">
        <a:xfrm>
          <a:off x="0" y="4321175"/>
          <a:ext cx="1724231" cy="1041400"/>
        </a:xfrm>
        <a:prstGeom prst="rect">
          <a:avLst/>
        </a:prstGeom>
        <a:noFill/>
      </xdr:spPr>
    </xdr:pic>
    <xdr:clientData/>
  </xdr:twoCellAnchor>
  <xdr:twoCellAnchor editAs="oneCell">
    <xdr:from>
      <xdr:col>5</xdr:col>
      <xdr:colOff>133349</xdr:colOff>
      <xdr:row>13</xdr:row>
      <xdr:rowOff>76199</xdr:rowOff>
    </xdr:from>
    <xdr:to>
      <xdr:col>6</xdr:col>
      <xdr:colOff>154314</xdr:colOff>
      <xdr:row>15</xdr:row>
      <xdr:rowOff>47624</xdr:rowOff>
    </xdr:to>
    <xdr:pic>
      <xdr:nvPicPr>
        <xdr:cNvPr id="3" name="Picture 2" descr="https://www.magnumheating.ro/editor/file/190061/ETN4.jpg">
          <a:extLst>
            <a:ext uri="{FF2B5EF4-FFF2-40B4-BE49-F238E27FC236}">
              <a16:creationId xmlns:a16="http://schemas.microsoft.com/office/drawing/2014/main" id="{6C72C7D3-4B5B-43EB-8D05-8DD14EAC0085}"/>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429374" y="4314824"/>
          <a:ext cx="725815" cy="1200150"/>
        </a:xfrm>
        <a:prstGeom prst="rect">
          <a:avLst/>
        </a:prstGeom>
        <a:noFill/>
      </xdr:spPr>
    </xdr:pic>
    <xdr:clientData/>
  </xdr:twoCellAnchor>
  <xdr:twoCellAnchor editAs="oneCell">
    <xdr:from>
      <xdr:col>6</xdr:col>
      <xdr:colOff>152400</xdr:colOff>
      <xdr:row>13</xdr:row>
      <xdr:rowOff>133350</xdr:rowOff>
    </xdr:from>
    <xdr:to>
      <xdr:col>6</xdr:col>
      <xdr:colOff>692150</xdr:colOff>
      <xdr:row>14</xdr:row>
      <xdr:rowOff>559584</xdr:rowOff>
    </xdr:to>
    <xdr:pic>
      <xdr:nvPicPr>
        <xdr:cNvPr id="7" name="Imagine 10">
          <a:extLst>
            <a:ext uri="{FF2B5EF4-FFF2-40B4-BE49-F238E27FC236}">
              <a16:creationId xmlns:a16="http://schemas.microsoft.com/office/drawing/2014/main" id="{57AB308A-C445-41E9-9867-A0D0A5A4E314}"/>
            </a:ext>
          </a:extLst>
        </xdr:cNvPr>
        <xdr:cNvPicPr>
          <a:picLocks noChangeAspect="1"/>
        </xdr:cNvPicPr>
      </xdr:nvPicPr>
      <xdr:blipFill>
        <a:blip xmlns:r="http://schemas.openxmlformats.org/officeDocument/2006/relationships" r:embed="rId6"/>
        <a:stretch>
          <a:fillRect/>
        </a:stretch>
      </xdr:blipFill>
      <xdr:spPr>
        <a:xfrm>
          <a:off x="7153275" y="4371975"/>
          <a:ext cx="539750" cy="1064409"/>
        </a:xfrm>
        <a:prstGeom prst="rect">
          <a:avLst/>
        </a:prstGeom>
      </xdr:spPr>
    </xdr:pic>
    <xdr:clientData/>
  </xdr:twoCellAnchor>
  <xdr:twoCellAnchor editAs="oneCell">
    <xdr:from>
      <xdr:col>2</xdr:col>
      <xdr:colOff>1606550</xdr:colOff>
      <xdr:row>13</xdr:row>
      <xdr:rowOff>161925</xdr:rowOff>
    </xdr:from>
    <xdr:to>
      <xdr:col>2</xdr:col>
      <xdr:colOff>2590800</xdr:colOff>
      <xdr:row>13</xdr:row>
      <xdr:rowOff>564114</xdr:rowOff>
    </xdr:to>
    <xdr:pic>
      <xdr:nvPicPr>
        <xdr:cNvPr id="8" name="Picture 7">
          <a:extLst>
            <a:ext uri="{FF2B5EF4-FFF2-40B4-BE49-F238E27FC236}">
              <a16:creationId xmlns:a16="http://schemas.microsoft.com/office/drawing/2014/main" id="{7D0648BB-6A99-45DF-92B8-C0D51E78605F}"/>
            </a:ext>
          </a:extLst>
        </xdr:cNvPr>
        <xdr:cNvPicPr>
          <a:picLocks noChangeAspect="1"/>
        </xdr:cNvPicPr>
      </xdr:nvPicPr>
      <xdr:blipFill>
        <a:blip xmlns:r="http://schemas.openxmlformats.org/officeDocument/2006/relationships" r:embed="rId7"/>
        <a:stretch>
          <a:fillRect/>
        </a:stretch>
      </xdr:blipFill>
      <xdr:spPr>
        <a:xfrm>
          <a:off x="2644775" y="4400550"/>
          <a:ext cx="984250" cy="402189"/>
        </a:xfrm>
        <a:prstGeom prst="rect">
          <a:avLst/>
        </a:prstGeom>
      </xdr:spPr>
    </xdr:pic>
    <xdr:clientData/>
  </xdr:twoCellAnchor>
  <xdr:twoCellAnchor editAs="oneCell">
    <xdr:from>
      <xdr:col>4</xdr:col>
      <xdr:colOff>339726</xdr:colOff>
      <xdr:row>10</xdr:row>
      <xdr:rowOff>123825</xdr:rowOff>
    </xdr:from>
    <xdr:to>
      <xdr:col>5</xdr:col>
      <xdr:colOff>659613</xdr:colOff>
      <xdr:row>13</xdr:row>
      <xdr:rowOff>15875</xdr:rowOff>
    </xdr:to>
    <xdr:pic>
      <xdr:nvPicPr>
        <xdr:cNvPr id="11" name="Picture 10">
          <a:extLst>
            <a:ext uri="{FF2B5EF4-FFF2-40B4-BE49-F238E27FC236}">
              <a16:creationId xmlns:a16="http://schemas.microsoft.com/office/drawing/2014/main" id="{139207CD-9B95-4A44-99BD-597833F4E9DC}"/>
            </a:ext>
          </a:extLst>
        </xdr:cNvPr>
        <xdr:cNvPicPr>
          <a:picLocks noChangeAspect="1"/>
        </xdr:cNvPicPr>
      </xdr:nvPicPr>
      <xdr:blipFill>
        <a:blip xmlns:r="http://schemas.openxmlformats.org/officeDocument/2006/relationships" r:embed="rId8"/>
        <a:stretch>
          <a:fillRect/>
        </a:stretch>
      </xdr:blipFill>
      <xdr:spPr>
        <a:xfrm>
          <a:off x="6226176" y="3762375"/>
          <a:ext cx="729462" cy="492125"/>
        </a:xfrm>
        <a:prstGeom prst="rect">
          <a:avLst/>
        </a:prstGeom>
      </xdr:spPr>
    </xdr:pic>
    <xdr:clientData/>
  </xdr:twoCellAnchor>
  <xdr:twoCellAnchor editAs="oneCell">
    <xdr:from>
      <xdr:col>3</xdr:col>
      <xdr:colOff>53975</xdr:colOff>
      <xdr:row>13</xdr:row>
      <xdr:rowOff>209550</xdr:rowOff>
    </xdr:from>
    <xdr:to>
      <xdr:col>5</xdr:col>
      <xdr:colOff>142875</xdr:colOff>
      <xdr:row>15</xdr:row>
      <xdr:rowOff>1982</xdr:rowOff>
    </xdr:to>
    <xdr:pic>
      <xdr:nvPicPr>
        <xdr:cNvPr id="13" name="Imagine 48" descr="terneo sneg + OSA">
          <a:extLst>
            <a:ext uri="{FF2B5EF4-FFF2-40B4-BE49-F238E27FC236}">
              <a16:creationId xmlns:a16="http://schemas.microsoft.com/office/drawing/2014/main" id="{8CED0ADD-16A2-4DE0-89A8-CAE1F6C4965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9400" y="4448175"/>
          <a:ext cx="1079500" cy="1021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1635125</xdr:colOff>
      <xdr:row>14</xdr:row>
      <xdr:rowOff>47625</xdr:rowOff>
    </xdr:from>
    <xdr:to>
      <xdr:col>2</xdr:col>
      <xdr:colOff>2609850</xdr:colOff>
      <xdr:row>14</xdr:row>
      <xdr:rowOff>439634</xdr:rowOff>
    </xdr:to>
    <xdr:pic>
      <xdr:nvPicPr>
        <xdr:cNvPr id="15" name="Picture 14">
          <a:extLst>
            <a:ext uri="{FF2B5EF4-FFF2-40B4-BE49-F238E27FC236}">
              <a16:creationId xmlns:a16="http://schemas.microsoft.com/office/drawing/2014/main" id="{FEFD0006-8777-4397-8B47-D6ED00452F34}"/>
            </a:ext>
          </a:extLst>
        </xdr:cNvPr>
        <xdr:cNvPicPr>
          <a:picLocks noChangeAspect="1"/>
        </xdr:cNvPicPr>
      </xdr:nvPicPr>
      <xdr:blipFill>
        <a:blip xmlns:r="http://schemas.openxmlformats.org/officeDocument/2006/relationships" r:embed="rId7"/>
        <a:stretch>
          <a:fillRect/>
        </a:stretch>
      </xdr:blipFill>
      <xdr:spPr>
        <a:xfrm>
          <a:off x="2673350" y="4924425"/>
          <a:ext cx="974725" cy="392009"/>
        </a:xfrm>
        <a:prstGeom prst="rect">
          <a:avLst/>
        </a:prstGeom>
      </xdr:spPr>
    </xdr:pic>
    <xdr:clientData/>
  </xdr:twoCellAnchor>
  <xdr:twoCellAnchor editAs="oneCell">
    <xdr:from>
      <xdr:col>8</xdr:col>
      <xdr:colOff>180975</xdr:colOff>
      <xdr:row>13</xdr:row>
      <xdr:rowOff>339725</xdr:rowOff>
    </xdr:from>
    <xdr:to>
      <xdr:col>9</xdr:col>
      <xdr:colOff>628650</xdr:colOff>
      <xdr:row>14</xdr:row>
      <xdr:rowOff>340621</xdr:rowOff>
    </xdr:to>
    <xdr:pic>
      <xdr:nvPicPr>
        <xdr:cNvPr id="6" name="Picture 5">
          <a:extLst>
            <a:ext uri="{FF2B5EF4-FFF2-40B4-BE49-F238E27FC236}">
              <a16:creationId xmlns:a16="http://schemas.microsoft.com/office/drawing/2014/main" id="{C911AEAD-6498-4BDB-92F0-49DE7D7174DE}"/>
            </a:ext>
          </a:extLst>
        </xdr:cNvPr>
        <xdr:cNvPicPr>
          <a:picLocks noChangeAspect="1"/>
        </xdr:cNvPicPr>
      </xdr:nvPicPr>
      <xdr:blipFill>
        <a:blip xmlns:r="http://schemas.openxmlformats.org/officeDocument/2006/relationships" r:embed="rId10"/>
        <a:stretch>
          <a:fillRect/>
        </a:stretch>
      </xdr:blipFill>
      <xdr:spPr>
        <a:xfrm>
          <a:off x="8372475" y="4578350"/>
          <a:ext cx="1104900" cy="639071"/>
        </a:xfrm>
        <a:prstGeom prst="rect">
          <a:avLst/>
        </a:prstGeom>
      </xdr:spPr>
    </xdr:pic>
    <xdr:clientData/>
  </xdr:twoCellAnchor>
  <xdr:twoCellAnchor editAs="oneCell">
    <xdr:from>
      <xdr:col>10</xdr:col>
      <xdr:colOff>95250</xdr:colOff>
      <xdr:row>13</xdr:row>
      <xdr:rowOff>190500</xdr:rowOff>
    </xdr:from>
    <xdr:to>
      <xdr:col>11</xdr:col>
      <xdr:colOff>19050</xdr:colOff>
      <xdr:row>14</xdr:row>
      <xdr:rowOff>463907</xdr:rowOff>
    </xdr:to>
    <xdr:pic>
      <xdr:nvPicPr>
        <xdr:cNvPr id="10" name="Picture 9">
          <a:extLst>
            <a:ext uri="{FF2B5EF4-FFF2-40B4-BE49-F238E27FC236}">
              <a16:creationId xmlns:a16="http://schemas.microsoft.com/office/drawing/2014/main" id="{01DBF1E2-C2A4-4743-9377-3C1DF137F157}"/>
            </a:ext>
          </a:extLst>
        </xdr:cNvPr>
        <xdr:cNvPicPr>
          <a:picLocks noChangeAspect="1"/>
        </xdr:cNvPicPr>
      </xdr:nvPicPr>
      <xdr:blipFill>
        <a:blip xmlns:r="http://schemas.openxmlformats.org/officeDocument/2006/relationships" r:embed="rId11"/>
        <a:stretch>
          <a:fillRect/>
        </a:stretch>
      </xdr:blipFill>
      <xdr:spPr>
        <a:xfrm>
          <a:off x="9696450" y="4429125"/>
          <a:ext cx="523875" cy="9179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114300</xdr:rowOff>
    </xdr:from>
    <xdr:to>
      <xdr:col>2</xdr:col>
      <xdr:colOff>695325</xdr:colOff>
      <xdr:row>0</xdr:row>
      <xdr:rowOff>1543050</xdr:rowOff>
    </xdr:to>
    <xdr:pic>
      <xdr:nvPicPr>
        <xdr:cNvPr id="2" name="Imagine 1">
          <a:extLst>
            <a:ext uri="{FF2B5EF4-FFF2-40B4-BE49-F238E27FC236}">
              <a16:creationId xmlns:a16="http://schemas.microsoft.com/office/drawing/2014/main" id="{B9408BB2-AE43-45EF-BFE6-8F198E4A01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524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11</xdr:row>
      <xdr:rowOff>133350</xdr:rowOff>
    </xdr:from>
    <xdr:to>
      <xdr:col>2</xdr:col>
      <xdr:colOff>57149</xdr:colOff>
      <xdr:row>15</xdr:row>
      <xdr:rowOff>20280</xdr:rowOff>
    </xdr:to>
    <xdr:pic>
      <xdr:nvPicPr>
        <xdr:cNvPr id="9" name="Imagine 8">
          <a:extLst>
            <a:ext uri="{FF2B5EF4-FFF2-40B4-BE49-F238E27FC236}">
              <a16:creationId xmlns:a16="http://schemas.microsoft.com/office/drawing/2014/main" id="{C45E43DB-0134-0561-481A-8C503973500B}"/>
            </a:ext>
          </a:extLst>
        </xdr:cNvPr>
        <xdr:cNvPicPr>
          <a:picLocks noChangeAspect="1"/>
        </xdr:cNvPicPr>
      </xdr:nvPicPr>
      <xdr:blipFill>
        <a:blip xmlns:r="http://schemas.openxmlformats.org/officeDocument/2006/relationships" r:embed="rId2"/>
        <a:stretch>
          <a:fillRect/>
        </a:stretch>
      </xdr:blipFill>
      <xdr:spPr>
        <a:xfrm>
          <a:off x="19050" y="4114800"/>
          <a:ext cx="971549" cy="1258530"/>
        </a:xfrm>
        <a:prstGeom prst="rect">
          <a:avLst/>
        </a:prstGeom>
      </xdr:spPr>
    </xdr:pic>
    <xdr:clientData/>
  </xdr:twoCellAnchor>
  <xdr:twoCellAnchor editAs="oneCell">
    <xdr:from>
      <xdr:col>1</xdr:col>
      <xdr:colOff>542925</xdr:colOff>
      <xdr:row>11</xdr:row>
      <xdr:rowOff>200025</xdr:rowOff>
    </xdr:from>
    <xdr:to>
      <xdr:col>2</xdr:col>
      <xdr:colOff>1762124</xdr:colOff>
      <xdr:row>16</xdr:row>
      <xdr:rowOff>26717</xdr:rowOff>
    </xdr:to>
    <xdr:pic>
      <xdr:nvPicPr>
        <xdr:cNvPr id="11" name="Imagine 10">
          <a:extLst>
            <a:ext uri="{FF2B5EF4-FFF2-40B4-BE49-F238E27FC236}">
              <a16:creationId xmlns:a16="http://schemas.microsoft.com/office/drawing/2014/main" id="{16BC70DD-1EAD-102F-1F56-0D26954163D6}"/>
            </a:ext>
          </a:extLst>
        </xdr:cNvPr>
        <xdr:cNvPicPr>
          <a:picLocks noChangeAspect="1"/>
        </xdr:cNvPicPr>
      </xdr:nvPicPr>
      <xdr:blipFill>
        <a:blip xmlns:r="http://schemas.openxmlformats.org/officeDocument/2006/relationships" r:embed="rId3"/>
        <a:stretch>
          <a:fillRect/>
        </a:stretch>
      </xdr:blipFill>
      <xdr:spPr>
        <a:xfrm>
          <a:off x="923925" y="4181475"/>
          <a:ext cx="1771649" cy="1445942"/>
        </a:xfrm>
        <a:prstGeom prst="rect">
          <a:avLst/>
        </a:prstGeom>
      </xdr:spPr>
    </xdr:pic>
    <xdr:clientData/>
  </xdr:twoCellAnchor>
  <xdr:twoCellAnchor editAs="oneCell">
    <xdr:from>
      <xdr:col>2</xdr:col>
      <xdr:colOff>1743076</xdr:colOff>
      <xdr:row>12</xdr:row>
      <xdr:rowOff>161925</xdr:rowOff>
    </xdr:from>
    <xdr:to>
      <xdr:col>2</xdr:col>
      <xdr:colOff>2847976</xdr:colOff>
      <xdr:row>14</xdr:row>
      <xdr:rowOff>220590</xdr:rowOff>
    </xdr:to>
    <xdr:pic>
      <xdr:nvPicPr>
        <xdr:cNvPr id="12" name="Imagine 11">
          <a:extLst>
            <a:ext uri="{FF2B5EF4-FFF2-40B4-BE49-F238E27FC236}">
              <a16:creationId xmlns:a16="http://schemas.microsoft.com/office/drawing/2014/main" id="{47806474-5A06-490F-F824-93C334B94E84}"/>
            </a:ext>
          </a:extLst>
        </xdr:cNvPr>
        <xdr:cNvPicPr>
          <a:picLocks noChangeAspect="1"/>
        </xdr:cNvPicPr>
      </xdr:nvPicPr>
      <xdr:blipFill>
        <a:blip xmlns:r="http://schemas.openxmlformats.org/officeDocument/2006/relationships" r:embed="rId4"/>
        <a:stretch>
          <a:fillRect/>
        </a:stretch>
      </xdr:blipFill>
      <xdr:spPr>
        <a:xfrm>
          <a:off x="2676526" y="4419600"/>
          <a:ext cx="1104900" cy="900040"/>
        </a:xfrm>
        <a:prstGeom prst="rect">
          <a:avLst/>
        </a:prstGeom>
      </xdr:spPr>
    </xdr:pic>
    <xdr:clientData/>
  </xdr:twoCellAnchor>
  <xdr:twoCellAnchor editAs="oneCell">
    <xdr:from>
      <xdr:col>35</xdr:col>
      <xdr:colOff>635000</xdr:colOff>
      <xdr:row>12</xdr:row>
      <xdr:rowOff>63500</xdr:rowOff>
    </xdr:from>
    <xdr:to>
      <xdr:col>43</xdr:col>
      <xdr:colOff>358775</xdr:colOff>
      <xdr:row>22</xdr:row>
      <xdr:rowOff>82550</xdr:rowOff>
    </xdr:to>
    <xdr:pic>
      <xdr:nvPicPr>
        <xdr:cNvPr id="13" name="Imagine 12">
          <a:extLst>
            <a:ext uri="{FF2B5EF4-FFF2-40B4-BE49-F238E27FC236}">
              <a16:creationId xmlns:a16="http://schemas.microsoft.com/office/drawing/2014/main" id="{08D8D079-ED11-A494-B7BC-82F8C037BE08}"/>
            </a:ext>
          </a:extLst>
        </xdr:cNvPr>
        <xdr:cNvPicPr>
          <a:picLocks noChangeAspect="1"/>
        </xdr:cNvPicPr>
      </xdr:nvPicPr>
      <xdr:blipFill>
        <a:blip xmlns:r="http://schemas.openxmlformats.org/officeDocument/2006/relationships" r:embed="rId5"/>
        <a:stretch>
          <a:fillRect/>
        </a:stretch>
      </xdr:blipFill>
      <xdr:spPr>
        <a:xfrm>
          <a:off x="25923875" y="4273550"/>
          <a:ext cx="4829175" cy="3057525"/>
        </a:xfrm>
        <a:prstGeom prst="rect">
          <a:avLst/>
        </a:prstGeom>
      </xdr:spPr>
    </xdr:pic>
    <xdr:clientData/>
  </xdr:twoCellAnchor>
  <xdr:twoCellAnchor editAs="oneCell">
    <xdr:from>
      <xdr:col>2</xdr:col>
      <xdr:colOff>3048000</xdr:colOff>
      <xdr:row>12</xdr:row>
      <xdr:rowOff>219075</xdr:rowOff>
    </xdr:from>
    <xdr:to>
      <xdr:col>3</xdr:col>
      <xdr:colOff>609065</xdr:colOff>
      <xdr:row>14</xdr:row>
      <xdr:rowOff>66675</xdr:rowOff>
    </xdr:to>
    <xdr:pic>
      <xdr:nvPicPr>
        <xdr:cNvPr id="14" name="Imagine 13" descr=" ">
          <a:extLst>
            <a:ext uri="{FF2B5EF4-FFF2-40B4-BE49-F238E27FC236}">
              <a16:creationId xmlns:a16="http://schemas.microsoft.com/office/drawing/2014/main" id="{AD56C4E0-30DC-4A3A-90E2-90013EF390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81450" y="4476750"/>
          <a:ext cx="163459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114300</xdr:rowOff>
    </xdr:from>
    <xdr:to>
      <xdr:col>2</xdr:col>
      <xdr:colOff>692150</xdr:colOff>
      <xdr:row>0</xdr:row>
      <xdr:rowOff>1543050</xdr:rowOff>
    </xdr:to>
    <xdr:pic>
      <xdr:nvPicPr>
        <xdr:cNvPr id="2" name="Imagine 1">
          <a:extLst>
            <a:ext uri="{FF2B5EF4-FFF2-40B4-BE49-F238E27FC236}">
              <a16:creationId xmlns:a16="http://schemas.microsoft.com/office/drawing/2014/main" id="{2182E4B7-C68B-4E8B-8E8B-06CE450999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5906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19050</xdr:colOff>
      <xdr:row>9</xdr:row>
      <xdr:rowOff>10366</xdr:rowOff>
    </xdr:from>
    <xdr:to>
      <xdr:col>45</xdr:col>
      <xdr:colOff>29907</xdr:colOff>
      <xdr:row>20</xdr:row>
      <xdr:rowOff>219076</xdr:rowOff>
    </xdr:to>
    <xdr:pic>
      <xdr:nvPicPr>
        <xdr:cNvPr id="3" name="Imagine 3">
          <a:extLst>
            <a:ext uri="{FF2B5EF4-FFF2-40B4-BE49-F238E27FC236}">
              <a16:creationId xmlns:a16="http://schemas.microsoft.com/office/drawing/2014/main" id="{E24EBBDB-A537-4168-B9E5-398CF128855B}"/>
            </a:ext>
          </a:extLst>
        </xdr:cNvPr>
        <xdr:cNvPicPr>
          <a:picLocks noChangeAspect="1"/>
        </xdr:cNvPicPr>
      </xdr:nvPicPr>
      <xdr:blipFill>
        <a:blip xmlns:r="http://schemas.openxmlformats.org/officeDocument/2006/relationships" r:embed="rId2"/>
        <a:stretch>
          <a:fillRect/>
        </a:stretch>
      </xdr:blipFill>
      <xdr:spPr>
        <a:xfrm>
          <a:off x="19383375" y="3163141"/>
          <a:ext cx="3293807" cy="2494710"/>
        </a:xfrm>
        <a:prstGeom prst="rect">
          <a:avLst/>
        </a:prstGeom>
      </xdr:spPr>
    </xdr:pic>
    <xdr:clientData/>
  </xdr:twoCellAnchor>
  <xdr:twoCellAnchor editAs="oneCell">
    <xdr:from>
      <xdr:col>0</xdr:col>
      <xdr:colOff>187690</xdr:colOff>
      <xdr:row>9</xdr:row>
      <xdr:rowOff>483734</xdr:rowOff>
    </xdr:from>
    <xdr:to>
      <xdr:col>2</xdr:col>
      <xdr:colOff>826308</xdr:colOff>
      <xdr:row>13</xdr:row>
      <xdr:rowOff>101600</xdr:rowOff>
    </xdr:to>
    <xdr:pic>
      <xdr:nvPicPr>
        <xdr:cNvPr id="4" name="Picture 12">
          <a:extLst>
            <a:ext uri="{FF2B5EF4-FFF2-40B4-BE49-F238E27FC236}">
              <a16:creationId xmlns:a16="http://schemas.microsoft.com/office/drawing/2014/main" id="{D025781B-3452-4CA9-8033-1D18A9197E5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87690" y="3522209"/>
          <a:ext cx="1619693" cy="678316"/>
        </a:xfrm>
        <a:prstGeom prst="rect">
          <a:avLst/>
        </a:prstGeom>
        <a:noFill/>
      </xdr:spPr>
    </xdr:pic>
    <xdr:clientData/>
  </xdr:twoCellAnchor>
  <xdr:twoCellAnchor editAs="oneCell">
    <xdr:from>
      <xdr:col>41</xdr:col>
      <xdr:colOff>379507</xdr:colOff>
      <xdr:row>42</xdr:row>
      <xdr:rowOff>132509</xdr:rowOff>
    </xdr:from>
    <xdr:to>
      <xdr:col>46</xdr:col>
      <xdr:colOff>403108</xdr:colOff>
      <xdr:row>53</xdr:row>
      <xdr:rowOff>47621</xdr:rowOff>
    </xdr:to>
    <xdr:pic>
      <xdr:nvPicPr>
        <xdr:cNvPr id="5" name="Imagine 8" descr="MAGNUM Trace Micro Fluor polimer ">
          <a:extLst>
            <a:ext uri="{FF2B5EF4-FFF2-40B4-BE49-F238E27FC236}">
              <a16:creationId xmlns:a16="http://schemas.microsoft.com/office/drawing/2014/main" id="{AEB4A252-E974-4DB5-8450-6DEAF22B13B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296407" y="10295684"/>
          <a:ext cx="3214476" cy="2118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20731</xdr:colOff>
      <xdr:row>17</xdr:row>
      <xdr:rowOff>247929</xdr:rowOff>
    </xdr:from>
    <xdr:to>
      <xdr:col>45</xdr:col>
      <xdr:colOff>12419</xdr:colOff>
      <xdr:row>24</xdr:row>
      <xdr:rowOff>133514</xdr:rowOff>
    </xdr:to>
    <xdr:pic>
      <xdr:nvPicPr>
        <xdr:cNvPr id="6" name="Picture 16">
          <a:extLst>
            <a:ext uri="{FF2B5EF4-FFF2-40B4-BE49-F238E27FC236}">
              <a16:creationId xmlns:a16="http://schemas.microsoft.com/office/drawing/2014/main" id="{C9BC0FAC-2254-433D-BECD-86A7099A13DD}"/>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9385056" y="5705754"/>
          <a:ext cx="3236819" cy="1438160"/>
        </a:xfrm>
        <a:prstGeom prst="rect">
          <a:avLst/>
        </a:prstGeom>
        <a:noFill/>
      </xdr:spPr>
    </xdr:pic>
    <xdr:clientData/>
  </xdr:twoCellAnchor>
  <xdr:twoCellAnchor editAs="oneCell">
    <xdr:from>
      <xdr:col>2</xdr:col>
      <xdr:colOff>2008877</xdr:colOff>
      <xdr:row>17</xdr:row>
      <xdr:rowOff>144738</xdr:rowOff>
    </xdr:from>
    <xdr:to>
      <xdr:col>2</xdr:col>
      <xdr:colOff>3829050</xdr:colOff>
      <xdr:row>23</xdr:row>
      <xdr:rowOff>134193</xdr:rowOff>
    </xdr:to>
    <xdr:pic>
      <xdr:nvPicPr>
        <xdr:cNvPr id="7" name="Picture 30">
          <a:extLst>
            <a:ext uri="{FF2B5EF4-FFF2-40B4-BE49-F238E27FC236}">
              <a16:creationId xmlns:a16="http://schemas.microsoft.com/office/drawing/2014/main" id="{CBC51662-1AF7-4832-BAE9-9FA529178AF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989952" y="4935813"/>
          <a:ext cx="1820173" cy="1294380"/>
        </a:xfrm>
        <a:prstGeom prst="rect">
          <a:avLst/>
        </a:prstGeom>
        <a:noFill/>
      </xdr:spPr>
    </xdr:pic>
    <xdr:clientData/>
  </xdr:twoCellAnchor>
  <xdr:twoCellAnchor editAs="oneCell">
    <xdr:from>
      <xdr:col>2</xdr:col>
      <xdr:colOff>146049</xdr:colOff>
      <xdr:row>14</xdr:row>
      <xdr:rowOff>164478</xdr:rowOff>
    </xdr:from>
    <xdr:to>
      <xdr:col>2</xdr:col>
      <xdr:colOff>1162049</xdr:colOff>
      <xdr:row>22</xdr:row>
      <xdr:rowOff>106345</xdr:rowOff>
    </xdr:to>
    <xdr:pic>
      <xdr:nvPicPr>
        <xdr:cNvPr id="8" name="Imagine 9">
          <a:extLst>
            <a:ext uri="{FF2B5EF4-FFF2-40B4-BE49-F238E27FC236}">
              <a16:creationId xmlns:a16="http://schemas.microsoft.com/office/drawing/2014/main" id="{4B53DBD5-D9AF-4CE1-A430-C4DE72D026C7}"/>
            </a:ext>
          </a:extLst>
        </xdr:cNvPr>
        <xdr:cNvPicPr>
          <a:picLocks noChangeAspect="1"/>
        </xdr:cNvPicPr>
      </xdr:nvPicPr>
      <xdr:blipFill>
        <a:blip xmlns:r="http://schemas.openxmlformats.org/officeDocument/2006/relationships" r:embed="rId7"/>
        <a:stretch>
          <a:fillRect/>
        </a:stretch>
      </xdr:blipFill>
      <xdr:spPr>
        <a:xfrm>
          <a:off x="1127124" y="4460253"/>
          <a:ext cx="1016000" cy="1656367"/>
        </a:xfrm>
        <a:prstGeom prst="rect">
          <a:avLst/>
        </a:prstGeom>
      </xdr:spPr>
    </xdr:pic>
    <xdr:clientData/>
  </xdr:twoCellAnchor>
  <xdr:twoCellAnchor editAs="oneCell">
    <xdr:from>
      <xdr:col>0</xdr:col>
      <xdr:colOff>105766</xdr:colOff>
      <xdr:row>14</xdr:row>
      <xdr:rowOff>96078</xdr:rowOff>
    </xdr:from>
    <xdr:to>
      <xdr:col>1</xdr:col>
      <xdr:colOff>534503</xdr:colOff>
      <xdr:row>22</xdr:row>
      <xdr:rowOff>104775</xdr:rowOff>
    </xdr:to>
    <xdr:pic>
      <xdr:nvPicPr>
        <xdr:cNvPr id="9" name="Imagine 10">
          <a:extLst>
            <a:ext uri="{FF2B5EF4-FFF2-40B4-BE49-F238E27FC236}">
              <a16:creationId xmlns:a16="http://schemas.microsoft.com/office/drawing/2014/main" id="{9ADF2788-448A-40AE-80C8-E4188435D27C}"/>
            </a:ext>
          </a:extLst>
        </xdr:cNvPr>
        <xdr:cNvPicPr>
          <a:picLocks noChangeAspect="1"/>
        </xdr:cNvPicPr>
      </xdr:nvPicPr>
      <xdr:blipFill>
        <a:blip xmlns:r="http://schemas.openxmlformats.org/officeDocument/2006/relationships" r:embed="rId8"/>
        <a:stretch>
          <a:fillRect/>
        </a:stretch>
      </xdr:blipFill>
      <xdr:spPr>
        <a:xfrm>
          <a:off x="105766" y="4391853"/>
          <a:ext cx="828787" cy="1723197"/>
        </a:xfrm>
        <a:prstGeom prst="rect">
          <a:avLst/>
        </a:prstGeom>
      </xdr:spPr>
    </xdr:pic>
    <xdr:clientData/>
  </xdr:twoCellAnchor>
  <xdr:twoCellAnchor editAs="oneCell">
    <xdr:from>
      <xdr:col>2</xdr:col>
      <xdr:colOff>1896717</xdr:colOff>
      <xdr:row>14</xdr:row>
      <xdr:rowOff>64040</xdr:rowOff>
    </xdr:from>
    <xdr:to>
      <xdr:col>2</xdr:col>
      <xdr:colOff>3171501</xdr:colOff>
      <xdr:row>17</xdr:row>
      <xdr:rowOff>101600</xdr:rowOff>
    </xdr:to>
    <xdr:pic>
      <xdr:nvPicPr>
        <xdr:cNvPr id="10" name="Imagine 11">
          <a:extLst>
            <a:ext uri="{FF2B5EF4-FFF2-40B4-BE49-F238E27FC236}">
              <a16:creationId xmlns:a16="http://schemas.microsoft.com/office/drawing/2014/main" id="{C35A4060-FB9F-401D-8A49-CEF2C0213058}"/>
            </a:ext>
          </a:extLst>
        </xdr:cNvPr>
        <xdr:cNvPicPr>
          <a:picLocks noChangeAspect="1"/>
        </xdr:cNvPicPr>
      </xdr:nvPicPr>
      <xdr:blipFill>
        <a:blip xmlns:r="http://schemas.openxmlformats.org/officeDocument/2006/relationships" r:embed="rId9"/>
        <a:stretch>
          <a:fillRect/>
        </a:stretch>
      </xdr:blipFill>
      <xdr:spPr>
        <a:xfrm rot="305766">
          <a:off x="2877792" y="4359815"/>
          <a:ext cx="1274784" cy="609060"/>
        </a:xfrm>
        <a:prstGeom prst="rect">
          <a:avLst/>
        </a:prstGeom>
      </xdr:spPr>
    </xdr:pic>
    <xdr:clientData/>
  </xdr:twoCellAnchor>
  <xdr:twoCellAnchor editAs="oneCell">
    <xdr:from>
      <xdr:col>2</xdr:col>
      <xdr:colOff>752474</xdr:colOff>
      <xdr:row>9</xdr:row>
      <xdr:rowOff>396876</xdr:rowOff>
    </xdr:from>
    <xdr:to>
      <xdr:col>2</xdr:col>
      <xdr:colOff>2265657</xdr:colOff>
      <xdr:row>14</xdr:row>
      <xdr:rowOff>85725</xdr:rowOff>
    </xdr:to>
    <xdr:pic>
      <xdr:nvPicPr>
        <xdr:cNvPr id="11" name="Imagine 1">
          <a:extLst>
            <a:ext uri="{FF2B5EF4-FFF2-40B4-BE49-F238E27FC236}">
              <a16:creationId xmlns:a16="http://schemas.microsoft.com/office/drawing/2014/main" id="{B4E1D8F6-B2AC-44CE-A5BB-8B2E44F7A70F}"/>
            </a:ext>
          </a:extLst>
        </xdr:cNvPr>
        <xdr:cNvPicPr>
          <a:picLocks noChangeAspect="1"/>
        </xdr:cNvPicPr>
      </xdr:nvPicPr>
      <xdr:blipFill>
        <a:blip xmlns:r="http://schemas.openxmlformats.org/officeDocument/2006/relationships" r:embed="rId10"/>
        <a:stretch>
          <a:fillRect/>
        </a:stretch>
      </xdr:blipFill>
      <xdr:spPr>
        <a:xfrm>
          <a:off x="1733549" y="3435351"/>
          <a:ext cx="1513183" cy="850899"/>
        </a:xfrm>
        <a:prstGeom prst="rect">
          <a:avLst/>
        </a:prstGeom>
      </xdr:spPr>
    </xdr:pic>
    <xdr:clientData/>
  </xdr:twoCellAnchor>
  <xdr:twoCellAnchor editAs="oneCell">
    <xdr:from>
      <xdr:col>2</xdr:col>
      <xdr:colOff>2397125</xdr:colOff>
      <xdr:row>9</xdr:row>
      <xdr:rowOff>425449</xdr:rowOff>
    </xdr:from>
    <xdr:to>
      <xdr:col>2</xdr:col>
      <xdr:colOff>3609733</xdr:colOff>
      <xdr:row>14</xdr:row>
      <xdr:rowOff>22224</xdr:rowOff>
    </xdr:to>
    <xdr:pic>
      <xdr:nvPicPr>
        <xdr:cNvPr id="12" name="Imagine 6">
          <a:extLst>
            <a:ext uri="{FF2B5EF4-FFF2-40B4-BE49-F238E27FC236}">
              <a16:creationId xmlns:a16="http://schemas.microsoft.com/office/drawing/2014/main" id="{911CB074-4852-44C8-BF5B-963613778893}"/>
            </a:ext>
          </a:extLst>
        </xdr:cNvPr>
        <xdr:cNvPicPr>
          <a:picLocks noChangeAspect="1"/>
        </xdr:cNvPicPr>
      </xdr:nvPicPr>
      <xdr:blipFill>
        <a:blip xmlns:r="http://schemas.openxmlformats.org/officeDocument/2006/relationships" r:embed="rId11"/>
        <a:stretch>
          <a:fillRect/>
        </a:stretch>
      </xdr:blipFill>
      <xdr:spPr>
        <a:xfrm>
          <a:off x="3378200" y="3463924"/>
          <a:ext cx="1218958" cy="784225"/>
        </a:xfrm>
        <a:prstGeom prst="rect">
          <a:avLst/>
        </a:prstGeom>
      </xdr:spPr>
    </xdr:pic>
    <xdr:clientData/>
  </xdr:twoCellAnchor>
  <xdr:twoCellAnchor editAs="oneCell">
    <xdr:from>
      <xdr:col>2</xdr:col>
      <xdr:colOff>1285875</xdr:colOff>
      <xdr:row>16</xdr:row>
      <xdr:rowOff>180975</xdr:rowOff>
    </xdr:from>
    <xdr:to>
      <xdr:col>2</xdr:col>
      <xdr:colOff>2168525</xdr:colOff>
      <xdr:row>19</xdr:row>
      <xdr:rowOff>94130</xdr:rowOff>
    </xdr:to>
    <xdr:pic>
      <xdr:nvPicPr>
        <xdr:cNvPr id="13" name="Picture 33">
          <a:extLst>
            <a:ext uri="{FF2B5EF4-FFF2-40B4-BE49-F238E27FC236}">
              <a16:creationId xmlns:a16="http://schemas.microsoft.com/office/drawing/2014/main" id="{063D8E64-41FC-4C49-B824-C927BDE24DD6}"/>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2266950" y="4781550"/>
          <a:ext cx="882650" cy="48465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114300</xdr:rowOff>
    </xdr:from>
    <xdr:to>
      <xdr:col>2</xdr:col>
      <xdr:colOff>695325</xdr:colOff>
      <xdr:row>0</xdr:row>
      <xdr:rowOff>1543050</xdr:rowOff>
    </xdr:to>
    <xdr:pic>
      <xdr:nvPicPr>
        <xdr:cNvPr id="2" name="Imagine 1">
          <a:extLst>
            <a:ext uri="{FF2B5EF4-FFF2-40B4-BE49-F238E27FC236}">
              <a16:creationId xmlns:a16="http://schemas.microsoft.com/office/drawing/2014/main" id="{2384DC66-18CB-4178-9C32-8DAC80317A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5240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19050</xdr:colOff>
      <xdr:row>9</xdr:row>
      <xdr:rowOff>10366</xdr:rowOff>
    </xdr:from>
    <xdr:to>
      <xdr:col>32</xdr:col>
      <xdr:colOff>26732</xdr:colOff>
      <xdr:row>17</xdr:row>
      <xdr:rowOff>200026</xdr:rowOff>
    </xdr:to>
    <xdr:pic>
      <xdr:nvPicPr>
        <xdr:cNvPr id="4" name="Imagine 3">
          <a:extLst>
            <a:ext uri="{FF2B5EF4-FFF2-40B4-BE49-F238E27FC236}">
              <a16:creationId xmlns:a16="http://schemas.microsoft.com/office/drawing/2014/main" id="{9E0D5C1C-4DFC-4DB0-9C49-81FD6D8546FB}"/>
            </a:ext>
          </a:extLst>
        </xdr:cNvPr>
        <xdr:cNvPicPr>
          <a:picLocks noChangeAspect="1"/>
        </xdr:cNvPicPr>
      </xdr:nvPicPr>
      <xdr:blipFill>
        <a:blip xmlns:r="http://schemas.openxmlformats.org/officeDocument/2006/relationships" r:embed="rId2"/>
        <a:stretch>
          <a:fillRect/>
        </a:stretch>
      </xdr:blipFill>
      <xdr:spPr>
        <a:xfrm>
          <a:off x="19383375" y="3163141"/>
          <a:ext cx="3293807" cy="2494710"/>
        </a:xfrm>
        <a:prstGeom prst="rect">
          <a:avLst/>
        </a:prstGeom>
      </xdr:spPr>
    </xdr:pic>
    <xdr:clientData/>
  </xdr:twoCellAnchor>
  <xdr:twoCellAnchor editAs="oneCell">
    <xdr:from>
      <xdr:col>2</xdr:col>
      <xdr:colOff>1321165</xdr:colOff>
      <xdr:row>10</xdr:row>
      <xdr:rowOff>45584</xdr:rowOff>
    </xdr:from>
    <xdr:to>
      <xdr:col>2</xdr:col>
      <xdr:colOff>3649136</xdr:colOff>
      <xdr:row>13</xdr:row>
      <xdr:rowOff>86405</xdr:rowOff>
    </xdr:to>
    <xdr:pic>
      <xdr:nvPicPr>
        <xdr:cNvPr id="8" name="Picture 12">
          <a:extLst>
            <a:ext uri="{FF2B5EF4-FFF2-40B4-BE49-F238E27FC236}">
              <a16:creationId xmlns:a16="http://schemas.microsoft.com/office/drawing/2014/main" id="{2329935B-2102-40B3-9FC4-EA867742F39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314486" y="3665084"/>
          <a:ext cx="2323209" cy="830035"/>
        </a:xfrm>
        <a:prstGeom prst="rect">
          <a:avLst/>
        </a:prstGeom>
        <a:noFill/>
      </xdr:spPr>
    </xdr:pic>
    <xdr:clientData/>
  </xdr:twoCellAnchor>
  <xdr:twoCellAnchor editAs="oneCell">
    <xdr:from>
      <xdr:col>27</xdr:col>
      <xdr:colOff>68357</xdr:colOff>
      <xdr:row>23</xdr:row>
      <xdr:rowOff>189659</xdr:rowOff>
    </xdr:from>
    <xdr:to>
      <xdr:col>32</xdr:col>
      <xdr:colOff>85608</xdr:colOff>
      <xdr:row>32</xdr:row>
      <xdr:rowOff>152399</xdr:rowOff>
    </xdr:to>
    <xdr:pic>
      <xdr:nvPicPr>
        <xdr:cNvPr id="9" name="Imagine 8" descr="MAGNUM Trace Micro Fluor polimer ">
          <a:extLst>
            <a:ext uri="{FF2B5EF4-FFF2-40B4-BE49-F238E27FC236}">
              <a16:creationId xmlns:a16="http://schemas.microsoft.com/office/drawing/2014/main" id="{41B12FE2-B722-4016-B831-8B5A574252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32682" y="7123859"/>
          <a:ext cx="3303376" cy="208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20731</xdr:colOff>
      <xdr:row>17</xdr:row>
      <xdr:rowOff>247929</xdr:rowOff>
    </xdr:from>
    <xdr:to>
      <xdr:col>31</xdr:col>
      <xdr:colOff>628650</xdr:colOff>
      <xdr:row>24</xdr:row>
      <xdr:rowOff>19214</xdr:rowOff>
    </xdr:to>
    <xdr:pic>
      <xdr:nvPicPr>
        <xdr:cNvPr id="13" name="Picture 16">
          <a:extLst>
            <a:ext uri="{FF2B5EF4-FFF2-40B4-BE49-F238E27FC236}">
              <a16:creationId xmlns:a16="http://schemas.microsoft.com/office/drawing/2014/main" id="{E1DF05CC-8158-4B0D-A77A-BCFB335B8303}"/>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9385056" y="5705754"/>
          <a:ext cx="3236819" cy="1433398"/>
        </a:xfrm>
        <a:prstGeom prst="rect">
          <a:avLst/>
        </a:prstGeom>
        <a:noFill/>
      </xdr:spPr>
    </xdr:pic>
    <xdr:clientData/>
  </xdr:twoCellAnchor>
  <xdr:twoCellAnchor editAs="oneCell">
    <xdr:from>
      <xdr:col>2</xdr:col>
      <xdr:colOff>1535801</xdr:colOff>
      <xdr:row>13</xdr:row>
      <xdr:rowOff>173313</xdr:rowOff>
    </xdr:from>
    <xdr:to>
      <xdr:col>2</xdr:col>
      <xdr:colOff>3895639</xdr:colOff>
      <xdr:row>20</xdr:row>
      <xdr:rowOff>323850</xdr:rowOff>
    </xdr:to>
    <xdr:pic>
      <xdr:nvPicPr>
        <xdr:cNvPr id="14" name="Picture 30">
          <a:extLst>
            <a:ext uri="{FF2B5EF4-FFF2-40B4-BE49-F238E27FC236}">
              <a16:creationId xmlns:a16="http://schemas.microsoft.com/office/drawing/2014/main" id="{20B3F9BB-B1BC-4BC8-A143-F0C5C5F01A39}"/>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535926" y="4602438"/>
          <a:ext cx="2359838" cy="1826937"/>
        </a:xfrm>
        <a:prstGeom prst="rect">
          <a:avLst/>
        </a:prstGeom>
        <a:noFill/>
      </xdr:spPr>
    </xdr:pic>
    <xdr:clientData/>
  </xdr:twoCellAnchor>
  <xdr:twoCellAnchor editAs="oneCell">
    <xdr:from>
      <xdr:col>2</xdr:col>
      <xdr:colOff>219074</xdr:colOff>
      <xdr:row>13</xdr:row>
      <xdr:rowOff>189878</xdr:rowOff>
    </xdr:from>
    <xdr:to>
      <xdr:col>2</xdr:col>
      <xdr:colOff>1238249</xdr:colOff>
      <xdr:row>20</xdr:row>
      <xdr:rowOff>198420</xdr:rowOff>
    </xdr:to>
    <xdr:pic>
      <xdr:nvPicPr>
        <xdr:cNvPr id="10" name="Imagine 9">
          <a:extLst>
            <a:ext uri="{FF2B5EF4-FFF2-40B4-BE49-F238E27FC236}">
              <a16:creationId xmlns:a16="http://schemas.microsoft.com/office/drawing/2014/main" id="{A74A0B6A-75D1-4FA1-98B8-05489BDA326A}"/>
            </a:ext>
          </a:extLst>
        </xdr:cNvPr>
        <xdr:cNvPicPr>
          <a:picLocks noChangeAspect="1"/>
        </xdr:cNvPicPr>
      </xdr:nvPicPr>
      <xdr:blipFill>
        <a:blip xmlns:r="http://schemas.openxmlformats.org/officeDocument/2006/relationships" r:embed="rId7"/>
        <a:stretch>
          <a:fillRect/>
        </a:stretch>
      </xdr:blipFill>
      <xdr:spPr>
        <a:xfrm>
          <a:off x="1219199" y="4619003"/>
          <a:ext cx="1019175" cy="1684942"/>
        </a:xfrm>
        <a:prstGeom prst="rect">
          <a:avLst/>
        </a:prstGeom>
      </xdr:spPr>
    </xdr:pic>
    <xdr:clientData/>
  </xdr:twoCellAnchor>
  <xdr:twoCellAnchor editAs="oneCell">
    <xdr:from>
      <xdr:col>0</xdr:col>
      <xdr:colOff>58141</xdr:colOff>
      <xdr:row>13</xdr:row>
      <xdr:rowOff>96078</xdr:rowOff>
    </xdr:from>
    <xdr:to>
      <xdr:col>1</xdr:col>
      <xdr:colOff>483703</xdr:colOff>
      <xdr:row>20</xdr:row>
      <xdr:rowOff>171450</xdr:rowOff>
    </xdr:to>
    <xdr:pic>
      <xdr:nvPicPr>
        <xdr:cNvPr id="11" name="Imagine 10">
          <a:extLst>
            <a:ext uri="{FF2B5EF4-FFF2-40B4-BE49-F238E27FC236}">
              <a16:creationId xmlns:a16="http://schemas.microsoft.com/office/drawing/2014/main" id="{9CC5B246-3BAB-41EC-8A0B-9D4C892C79F7}"/>
            </a:ext>
          </a:extLst>
        </xdr:cNvPr>
        <xdr:cNvPicPr>
          <a:picLocks noChangeAspect="1"/>
        </xdr:cNvPicPr>
      </xdr:nvPicPr>
      <xdr:blipFill>
        <a:blip xmlns:r="http://schemas.openxmlformats.org/officeDocument/2006/relationships" r:embed="rId8"/>
        <a:stretch>
          <a:fillRect/>
        </a:stretch>
      </xdr:blipFill>
      <xdr:spPr>
        <a:xfrm>
          <a:off x="58141" y="4525203"/>
          <a:ext cx="835137" cy="1751772"/>
        </a:xfrm>
        <a:prstGeom prst="rect">
          <a:avLst/>
        </a:prstGeom>
      </xdr:spPr>
    </xdr:pic>
    <xdr:clientData/>
  </xdr:twoCellAnchor>
  <xdr:twoCellAnchor editAs="oneCell">
    <xdr:from>
      <xdr:col>0</xdr:col>
      <xdr:colOff>163167</xdr:colOff>
      <xdr:row>9</xdr:row>
      <xdr:rowOff>406941</xdr:rowOff>
    </xdr:from>
    <xdr:to>
      <xdr:col>2</xdr:col>
      <xdr:colOff>998084</xdr:colOff>
      <xdr:row>13</xdr:row>
      <xdr:rowOff>27126</xdr:rowOff>
    </xdr:to>
    <xdr:pic>
      <xdr:nvPicPr>
        <xdr:cNvPr id="12" name="Imagine 11">
          <a:extLst>
            <a:ext uri="{FF2B5EF4-FFF2-40B4-BE49-F238E27FC236}">
              <a16:creationId xmlns:a16="http://schemas.microsoft.com/office/drawing/2014/main" id="{F87F217C-6945-4A90-84FC-D7FF0FBFB014}"/>
            </a:ext>
          </a:extLst>
        </xdr:cNvPr>
        <xdr:cNvPicPr>
          <a:picLocks noChangeAspect="1"/>
        </xdr:cNvPicPr>
      </xdr:nvPicPr>
      <xdr:blipFill>
        <a:blip xmlns:r="http://schemas.openxmlformats.org/officeDocument/2006/relationships" r:embed="rId9"/>
        <a:stretch>
          <a:fillRect/>
        </a:stretch>
      </xdr:blipFill>
      <xdr:spPr>
        <a:xfrm>
          <a:off x="163167" y="3536584"/>
          <a:ext cx="1823476" cy="8992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agnumheating.ro/"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comments" Target="../comments10.xml"/><Relationship Id="rId2" Type="http://schemas.openxmlformats.org/officeDocument/2006/relationships/hyperlink" Target="mailto:mihail.macovei@magnumheating.ro" TargetMode="External"/><Relationship Id="rId1" Type="http://schemas.openxmlformats.org/officeDocument/2006/relationships/hyperlink" Target="http://www.magnumheating.ro/" TargetMode="External"/><Relationship Id="rId6" Type="http://schemas.openxmlformats.org/officeDocument/2006/relationships/vmlDrawing" Target="../drawings/vmlDrawing20.vml"/><Relationship Id="rId5" Type="http://schemas.openxmlformats.org/officeDocument/2006/relationships/vmlDrawing" Target="../drawings/vmlDrawing19.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magnumheating.ro/" TargetMode="External"/><Relationship Id="rId6" Type="http://schemas.openxmlformats.org/officeDocument/2006/relationships/comments" Target="../comments11.xml"/><Relationship Id="rId5" Type="http://schemas.openxmlformats.org/officeDocument/2006/relationships/vmlDrawing" Target="../drawings/vmlDrawing22.vml"/><Relationship Id="rId4" Type="http://schemas.openxmlformats.org/officeDocument/2006/relationships/vmlDrawing" Target="../drawings/vmlDrawing2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agnumheating.ro/"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agnumheating.ro/" TargetMode="External"/><Relationship Id="rId6" Type="http://schemas.openxmlformats.org/officeDocument/2006/relationships/comments" Target="../comments3.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magnumheating.ro/" TargetMode="External"/><Relationship Id="rId6" Type="http://schemas.openxmlformats.org/officeDocument/2006/relationships/comments" Target="../comments4.xml"/><Relationship Id="rId5" Type="http://schemas.openxmlformats.org/officeDocument/2006/relationships/vmlDrawing" Target="../drawings/vmlDrawing8.v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magnumheating.ro/" TargetMode="External"/><Relationship Id="rId6" Type="http://schemas.openxmlformats.org/officeDocument/2006/relationships/comments" Target="../comments5.xml"/><Relationship Id="rId5" Type="http://schemas.openxmlformats.org/officeDocument/2006/relationships/vmlDrawing" Target="../drawings/vmlDrawing10.vml"/><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magnumheating.ro/" TargetMode="External"/><Relationship Id="rId6" Type="http://schemas.openxmlformats.org/officeDocument/2006/relationships/comments" Target="../comments6.xml"/><Relationship Id="rId5" Type="http://schemas.openxmlformats.org/officeDocument/2006/relationships/vmlDrawing" Target="../drawings/vmlDrawing12.vml"/><Relationship Id="rId4" Type="http://schemas.openxmlformats.org/officeDocument/2006/relationships/vmlDrawing" Target="../drawings/vmlDrawing1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magnumheating.ro/" TargetMode="External"/><Relationship Id="rId6" Type="http://schemas.openxmlformats.org/officeDocument/2006/relationships/comments" Target="../comments7.xml"/><Relationship Id="rId5" Type="http://schemas.openxmlformats.org/officeDocument/2006/relationships/vmlDrawing" Target="../drawings/vmlDrawing14.vml"/><Relationship Id="rId4" Type="http://schemas.openxmlformats.org/officeDocument/2006/relationships/vmlDrawing" Target="../drawings/vmlDrawing1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magnumheating.ro/" TargetMode="External"/><Relationship Id="rId6" Type="http://schemas.openxmlformats.org/officeDocument/2006/relationships/comments" Target="../comments8.xml"/><Relationship Id="rId5" Type="http://schemas.openxmlformats.org/officeDocument/2006/relationships/vmlDrawing" Target="../drawings/vmlDrawing16.vml"/><Relationship Id="rId4" Type="http://schemas.openxmlformats.org/officeDocument/2006/relationships/vmlDrawing" Target="../drawings/vmlDrawing15.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comments" Target="../comments9.xml"/><Relationship Id="rId2" Type="http://schemas.openxmlformats.org/officeDocument/2006/relationships/hyperlink" Target="mailto:mihail.macovei@magnumheating.ro" TargetMode="External"/><Relationship Id="rId1" Type="http://schemas.openxmlformats.org/officeDocument/2006/relationships/hyperlink" Target="http://www.magnumheating.ro/" TargetMode="External"/><Relationship Id="rId6" Type="http://schemas.openxmlformats.org/officeDocument/2006/relationships/vmlDrawing" Target="../drawings/vmlDrawing18.vml"/><Relationship Id="rId5" Type="http://schemas.openxmlformats.org/officeDocument/2006/relationships/vmlDrawing" Target="../drawings/vmlDrawing17.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A120-388A-44B2-AC6D-861E680958E4}">
  <sheetPr codeName="Foaie1">
    <tabColor rgb="FF00B0F0"/>
  </sheetPr>
  <dimension ref="A1:V149"/>
  <sheetViews>
    <sheetView tabSelected="1" zoomScaleNormal="100" zoomScaleSheetLayoutView="100" workbookViewId="0">
      <selection activeCell="A2" sqref="A2:C2"/>
    </sheetView>
  </sheetViews>
  <sheetFormatPr defaultColWidth="9.109375" defaultRowHeight="11.4" x14ac:dyDescent="0.2"/>
  <cols>
    <col min="1" max="1" width="6.109375" style="5" customWidth="1"/>
    <col min="2" max="2" width="8.21875" style="5" customWidth="1"/>
    <col min="3" max="3" width="63" style="5" customWidth="1"/>
    <col min="4" max="4" width="5.77734375" style="5" customWidth="1"/>
    <col min="5" max="5" width="6" style="5" customWidth="1"/>
    <col min="6" max="6" width="10.6640625" style="5" customWidth="1"/>
    <col min="7" max="7" width="11.21875" style="5" bestFit="1" customWidth="1"/>
    <col min="8" max="8" width="6.21875" style="5" customWidth="1"/>
    <col min="9" max="9" width="5" style="5" customWidth="1"/>
    <col min="10" max="10" width="4" style="5" customWidth="1"/>
    <col min="11" max="11" width="3.77734375" style="5" customWidth="1"/>
    <col min="12" max="12" width="9.109375" style="5" customWidth="1"/>
    <col min="13" max="13" width="9.21875" style="5" bestFit="1" customWidth="1"/>
    <col min="14" max="14" width="14.109375" style="5" customWidth="1"/>
    <col min="15" max="15" width="13.109375" style="5" customWidth="1"/>
    <col min="16" max="16" width="9.77734375" style="5" customWidth="1"/>
    <col min="17" max="19" width="9.109375" style="5"/>
    <col min="20" max="20" width="61.77734375" style="5" customWidth="1"/>
    <col min="21" max="16384" width="9.109375" style="5"/>
  </cols>
  <sheetData>
    <row r="1" spans="1:18" ht="124.5" customHeight="1" x14ac:dyDescent="0.2">
      <c r="C1" s="734" t="s">
        <v>449</v>
      </c>
      <c r="D1" s="734"/>
      <c r="E1" s="734"/>
      <c r="F1" s="734"/>
      <c r="G1" s="734"/>
      <c r="H1" s="8"/>
      <c r="I1" s="8"/>
      <c r="J1" s="8"/>
      <c r="K1" s="8"/>
    </row>
    <row r="2" spans="1:18" ht="14.4" x14ac:dyDescent="0.3">
      <c r="A2" s="739" t="s">
        <v>493</v>
      </c>
      <c r="B2" s="740"/>
      <c r="C2" s="740"/>
    </row>
    <row r="3" spans="1:18" ht="6" customHeight="1" x14ac:dyDescent="0.2">
      <c r="A3" s="2"/>
    </row>
    <row r="4" spans="1:18" ht="14.4" x14ac:dyDescent="0.3">
      <c r="A4" s="739" t="s">
        <v>77</v>
      </c>
      <c r="B4" s="740"/>
      <c r="C4" s="740"/>
    </row>
    <row r="5" spans="1:18" ht="14.4" x14ac:dyDescent="0.3">
      <c r="A5" s="739" t="s">
        <v>15</v>
      </c>
      <c r="B5" s="740"/>
      <c r="C5" s="740"/>
    </row>
    <row r="6" spans="1:18" ht="14.4" x14ac:dyDescent="0.3">
      <c r="A6" s="739" t="s">
        <v>16</v>
      </c>
      <c r="B6" s="740"/>
      <c r="C6" s="740"/>
    </row>
    <row r="7" spans="1:18" ht="14.4" x14ac:dyDescent="0.3">
      <c r="A7" s="739" t="s">
        <v>13</v>
      </c>
      <c r="B7" s="740"/>
      <c r="C7" s="740"/>
    </row>
    <row r="8" spans="1:18" ht="14.4" x14ac:dyDescent="0.3">
      <c r="A8" s="739" t="s">
        <v>17</v>
      </c>
      <c r="B8" s="740"/>
      <c r="C8" s="740"/>
    </row>
    <row r="9" spans="1:18" ht="6.45" customHeight="1" thickBot="1" x14ac:dyDescent="0.25"/>
    <row r="10" spans="1:18" ht="37.5" customHeight="1" thickTop="1" thickBot="1" x14ac:dyDescent="0.25">
      <c r="A10" s="735" t="s">
        <v>0</v>
      </c>
      <c r="B10" s="735"/>
      <c r="C10" s="735"/>
      <c r="D10" s="735"/>
      <c r="E10" s="735"/>
      <c r="F10" s="736"/>
      <c r="G10" s="56" t="s">
        <v>137</v>
      </c>
      <c r="H10" s="3"/>
      <c r="I10" s="3"/>
      <c r="J10" s="4"/>
      <c r="K10" s="4"/>
      <c r="L10" s="4"/>
      <c r="M10" s="4"/>
      <c r="N10" s="4"/>
      <c r="O10" s="4"/>
      <c r="P10" s="4"/>
      <c r="Q10" s="4"/>
      <c r="R10" s="4"/>
    </row>
    <row r="11" spans="1:18" ht="25.5" customHeight="1" thickTop="1" thickBot="1" x14ac:dyDescent="0.25">
      <c r="A11" s="735" t="s">
        <v>46</v>
      </c>
      <c r="B11" s="735"/>
      <c r="C11" s="735"/>
      <c r="D11" s="735"/>
      <c r="E11" s="735"/>
      <c r="F11" s="736"/>
      <c r="G11" s="559">
        <f>G15+G16</f>
        <v>0</v>
      </c>
      <c r="H11" s="3"/>
      <c r="I11" s="3"/>
      <c r="J11" s="4"/>
      <c r="K11" s="4"/>
      <c r="L11" s="4"/>
      <c r="M11" s="4"/>
      <c r="N11" s="4"/>
      <c r="O11" s="4"/>
      <c r="P11" s="4"/>
      <c r="Q11" s="4"/>
      <c r="R11" s="4"/>
    </row>
    <row r="12" spans="1:18" ht="7.5" customHeight="1" thickTop="1" x14ac:dyDescent="0.2">
      <c r="A12" s="53"/>
      <c r="B12" s="53"/>
      <c r="C12" s="53"/>
      <c r="D12" s="53"/>
      <c r="E12" s="53"/>
      <c r="F12" s="53"/>
      <c r="G12" s="9"/>
      <c r="H12" s="3"/>
      <c r="I12" s="3"/>
      <c r="J12" s="4"/>
      <c r="K12" s="4"/>
      <c r="L12" s="4"/>
      <c r="M12" s="4"/>
      <c r="N12" s="4"/>
      <c r="O12" s="4"/>
      <c r="P12" s="4"/>
      <c r="Q12" s="4"/>
      <c r="R12" s="4"/>
    </row>
    <row r="13" spans="1:18" ht="39" customHeight="1" x14ac:dyDescent="0.2">
      <c r="A13" s="3"/>
      <c r="B13" s="3"/>
      <c r="C13" s="3"/>
      <c r="D13" s="3"/>
      <c r="E13" s="3"/>
      <c r="F13" s="3"/>
      <c r="G13" s="3"/>
      <c r="H13" s="3"/>
      <c r="I13" s="3"/>
      <c r="J13" s="4"/>
      <c r="K13" s="4"/>
      <c r="L13" s="4"/>
      <c r="M13" s="4"/>
      <c r="N13" s="4"/>
      <c r="O13" s="4"/>
      <c r="P13" s="4"/>
      <c r="Q13" s="4"/>
      <c r="R13" s="4"/>
    </row>
    <row r="14" spans="1:18" ht="39" customHeight="1" thickBot="1" x14ac:dyDescent="0.25">
      <c r="A14" s="3"/>
      <c r="B14" s="3"/>
      <c r="C14" s="3"/>
      <c r="D14" s="3"/>
      <c r="E14" s="3"/>
      <c r="F14" s="3"/>
      <c r="G14" s="3"/>
      <c r="H14" s="3"/>
      <c r="I14" s="3"/>
      <c r="J14" s="4"/>
      <c r="K14" s="4"/>
      <c r="L14" s="4"/>
      <c r="M14" s="4"/>
      <c r="N14" s="4"/>
      <c r="O14" s="4"/>
      <c r="P14" s="4"/>
      <c r="Q14" s="4"/>
      <c r="R14" s="4"/>
    </row>
    <row r="15" spans="1:18" ht="18.45" customHeight="1" thickTop="1" thickBot="1" x14ac:dyDescent="0.25">
      <c r="A15" s="3"/>
      <c r="B15" s="3"/>
      <c r="C15" s="3"/>
      <c r="D15" s="3"/>
      <c r="E15" s="729" t="s">
        <v>154</v>
      </c>
      <c r="F15" s="730"/>
      <c r="G15" s="559"/>
      <c r="H15" s="3"/>
      <c r="I15" s="3"/>
      <c r="J15" s="4"/>
      <c r="K15" s="4"/>
      <c r="L15" s="4"/>
      <c r="M15" s="4"/>
      <c r="N15" s="4"/>
      <c r="O15" s="4"/>
      <c r="P15" s="4"/>
      <c r="Q15" s="4"/>
      <c r="R15" s="4"/>
    </row>
    <row r="16" spans="1:18" ht="15.45" customHeight="1" thickTop="1" thickBot="1" x14ac:dyDescent="0.25">
      <c r="A16" s="3"/>
      <c r="B16" s="3"/>
      <c r="C16" s="3"/>
      <c r="D16" s="3"/>
      <c r="E16" s="729" t="s">
        <v>153</v>
      </c>
      <c r="F16" s="731"/>
      <c r="G16" s="559"/>
      <c r="H16" s="3"/>
      <c r="I16" s="3"/>
      <c r="J16" s="4"/>
      <c r="K16" s="4"/>
      <c r="L16" s="4"/>
      <c r="M16" s="652"/>
      <c r="N16" s="4"/>
      <c r="O16" s="4"/>
      <c r="P16" s="4"/>
      <c r="Q16" s="4"/>
      <c r="R16" s="4"/>
    </row>
    <row r="17" spans="1:18" ht="27" customHeight="1" thickTop="1" thickBot="1" x14ac:dyDescent="0.25">
      <c r="A17" s="741" t="s">
        <v>464</v>
      </c>
      <c r="B17" s="741"/>
      <c r="C17" s="741"/>
      <c r="D17" s="741"/>
      <c r="E17" s="741"/>
      <c r="F17" s="741"/>
      <c r="G17" s="741"/>
      <c r="H17" s="4"/>
      <c r="I17" s="4"/>
      <c r="J17" s="652"/>
      <c r="K17" s="652"/>
      <c r="L17" s="652"/>
      <c r="M17" s="652"/>
      <c r="N17" s="652"/>
      <c r="O17" s="652"/>
      <c r="P17" s="4"/>
      <c r="Q17" s="4"/>
      <c r="R17" s="4"/>
    </row>
    <row r="18" spans="1:18" ht="18.45" customHeight="1" thickTop="1" thickBot="1" x14ac:dyDescent="0.25">
      <c r="A18" s="26" t="s">
        <v>1</v>
      </c>
      <c r="B18" s="737" t="s">
        <v>3</v>
      </c>
      <c r="C18" s="737" t="s">
        <v>4</v>
      </c>
      <c r="D18" s="737" t="s">
        <v>5</v>
      </c>
      <c r="E18" s="737" t="s">
        <v>6</v>
      </c>
      <c r="F18" s="26" t="s">
        <v>7</v>
      </c>
      <c r="G18" s="26" t="s">
        <v>9</v>
      </c>
      <c r="H18" s="4"/>
      <c r="I18" s="4"/>
      <c r="J18" s="652"/>
      <c r="K18" s="652"/>
      <c r="L18" s="652"/>
      <c r="M18" s="653"/>
      <c r="N18" s="653"/>
      <c r="O18" s="652"/>
      <c r="P18" s="4"/>
      <c r="Q18" s="4"/>
      <c r="R18" s="4"/>
    </row>
    <row r="19" spans="1:18" ht="24.75" customHeight="1" thickTop="1" thickBot="1" x14ac:dyDescent="0.25">
      <c r="A19" s="176" t="s">
        <v>2</v>
      </c>
      <c r="B19" s="738"/>
      <c r="C19" s="738"/>
      <c r="D19" s="738"/>
      <c r="E19" s="738"/>
      <c r="F19" s="176" t="s">
        <v>8</v>
      </c>
      <c r="G19" s="176" t="s">
        <v>8</v>
      </c>
      <c r="H19" s="4"/>
      <c r="I19" s="4"/>
      <c r="J19" s="652"/>
      <c r="K19" s="652"/>
      <c r="L19" s="652"/>
      <c r="M19" s="84" t="s">
        <v>454</v>
      </c>
      <c r="N19" s="9"/>
      <c r="O19" s="652"/>
      <c r="P19" s="4"/>
      <c r="Q19" s="4"/>
      <c r="R19" s="4"/>
    </row>
    <row r="20" spans="1:18" ht="16.05" customHeight="1" thickTop="1" thickBot="1" x14ac:dyDescent="0.25">
      <c r="A20" s="485" t="s">
        <v>136</v>
      </c>
      <c r="B20" s="486"/>
      <c r="C20" s="486"/>
      <c r="D20" s="486"/>
      <c r="E20" s="486"/>
      <c r="F20" s="486"/>
      <c r="G20" s="487"/>
      <c r="H20" s="46">
        <f>SUM(H21:H27)</f>
        <v>0</v>
      </c>
      <c r="I20" s="4"/>
      <c r="J20" s="652"/>
      <c r="K20" s="652"/>
      <c r="L20" s="652"/>
      <c r="M20" s="85" t="s">
        <v>140</v>
      </c>
      <c r="N20" s="652"/>
      <c r="O20" s="652"/>
      <c r="P20" s="4"/>
      <c r="Q20" s="4"/>
      <c r="R20" s="4"/>
    </row>
    <row r="21" spans="1:18" ht="16.05" customHeight="1" thickTop="1" thickBot="1" x14ac:dyDescent="0.25">
      <c r="A21" s="532"/>
      <c r="B21" s="521">
        <v>120309</v>
      </c>
      <c r="C21" s="626" t="s">
        <v>114</v>
      </c>
      <c r="D21" s="627" t="s">
        <v>10</v>
      </c>
      <c r="E21" s="627">
        <f>IF(AND(G11&gt;=3, G11&lt;=5), 1, 0)</f>
        <v>0</v>
      </c>
      <c r="F21" s="628">
        <v>35</v>
      </c>
      <c r="G21" s="522">
        <f>E21*F21</f>
        <v>0</v>
      </c>
      <c r="H21" s="46">
        <f>E21</f>
        <v>0</v>
      </c>
      <c r="I21" s="4"/>
      <c r="J21" s="652"/>
      <c r="K21" s="652"/>
      <c r="L21" s="652"/>
      <c r="M21" s="592">
        <f>E21*300</f>
        <v>0</v>
      </c>
      <c r="N21" s="652"/>
      <c r="O21" s="652"/>
      <c r="P21" s="4"/>
      <c r="Q21" s="4"/>
      <c r="R21" s="4"/>
    </row>
    <row r="22" spans="1:18" ht="16.05" customHeight="1" thickBot="1" x14ac:dyDescent="0.25">
      <c r="A22" s="494"/>
      <c r="B22" s="490">
        <v>120459</v>
      </c>
      <c r="C22" s="491" t="s">
        <v>115</v>
      </c>
      <c r="D22" s="492" t="s">
        <v>10</v>
      </c>
      <c r="E22" s="492">
        <f>IF(AND(G11&gt;=5.1, G11&lt;=7.5), 1, 0)</f>
        <v>0</v>
      </c>
      <c r="F22" s="611">
        <v>45</v>
      </c>
      <c r="G22" s="495">
        <f t="shared" ref="G22:G27" si="0">E22*F22</f>
        <v>0</v>
      </c>
      <c r="H22" s="46">
        <f t="shared" ref="H22:H27" si="1">E22</f>
        <v>0</v>
      </c>
      <c r="I22" s="4"/>
      <c r="J22" s="652"/>
      <c r="K22" s="652"/>
      <c r="L22" s="652"/>
      <c r="M22" s="592">
        <f>E22*450</f>
        <v>0</v>
      </c>
      <c r="N22" s="652"/>
      <c r="O22" s="652"/>
      <c r="P22" s="4"/>
      <c r="Q22" s="4"/>
      <c r="R22" s="4"/>
    </row>
    <row r="23" spans="1:18" ht="16.05" customHeight="1" thickBot="1" x14ac:dyDescent="0.25">
      <c r="A23" s="494"/>
      <c r="B23" s="490">
        <v>120609</v>
      </c>
      <c r="C23" s="491" t="s">
        <v>116</v>
      </c>
      <c r="D23" s="492" t="s">
        <v>10</v>
      </c>
      <c r="E23" s="492">
        <f>IF(AND(G11&gt;=7.6, G11&lt;=10), 1, 0)</f>
        <v>0</v>
      </c>
      <c r="F23" s="611">
        <v>57</v>
      </c>
      <c r="G23" s="495">
        <f t="shared" si="0"/>
        <v>0</v>
      </c>
      <c r="H23" s="46">
        <f t="shared" si="1"/>
        <v>0</v>
      </c>
      <c r="I23" s="4"/>
      <c r="J23" s="652"/>
      <c r="K23" s="652"/>
      <c r="L23" s="652"/>
      <c r="M23" s="592">
        <f>E23*600</f>
        <v>0</v>
      </c>
      <c r="N23" s="652"/>
      <c r="O23" s="652"/>
      <c r="P23" s="4"/>
      <c r="Q23" s="4"/>
      <c r="R23" s="4"/>
    </row>
    <row r="24" spans="1:18" ht="16.05" customHeight="1" thickBot="1" x14ac:dyDescent="0.25">
      <c r="A24" s="494"/>
      <c r="B24" s="490">
        <v>120759</v>
      </c>
      <c r="C24" s="491" t="s">
        <v>117</v>
      </c>
      <c r="D24" s="492" t="s">
        <v>10</v>
      </c>
      <c r="E24" s="492">
        <f>IF(OR(AND(G11&gt;=10.1, G11&lt;=12.5), AND(G11&gt;=25.1, G11&lt;=27.5), AND(G11&gt;=30.1, G11&lt;=32.5), AND(G11&gt;=35.6, G11&lt;=37.5)), 1, 0)</f>
        <v>0</v>
      </c>
      <c r="F24" s="611">
        <v>67</v>
      </c>
      <c r="G24" s="495">
        <f t="shared" si="0"/>
        <v>0</v>
      </c>
      <c r="H24" s="46">
        <f t="shared" si="1"/>
        <v>0</v>
      </c>
      <c r="I24" s="4"/>
      <c r="J24" s="652"/>
      <c r="K24" s="652"/>
      <c r="L24" s="652"/>
      <c r="M24" s="592">
        <f>E24*750</f>
        <v>0</v>
      </c>
      <c r="N24" s="652"/>
      <c r="O24" s="652"/>
      <c r="P24" s="4"/>
      <c r="Q24" s="4"/>
      <c r="R24" s="4"/>
    </row>
    <row r="25" spans="1:18" ht="16.05" customHeight="1" thickBot="1" x14ac:dyDescent="0.25">
      <c r="A25" s="494"/>
      <c r="B25" s="490">
        <v>120909</v>
      </c>
      <c r="C25" s="491" t="s">
        <v>118</v>
      </c>
      <c r="D25" s="492" t="s">
        <v>10</v>
      </c>
      <c r="E25" s="492">
        <f>IF(OR(AND(G11&gt;=12.6, G11&lt;=15), AND(G11&gt;=25.1, G11&lt;=27.5), AND(G11&gt;=32.6, G11&lt;=35)), 1, IF(AND(G11&gt;=27.6, G11&lt;=30), 2, 0))</f>
        <v>0</v>
      </c>
      <c r="F25" s="611">
        <v>74</v>
      </c>
      <c r="G25" s="495">
        <f t="shared" si="0"/>
        <v>0</v>
      </c>
      <c r="H25" s="46">
        <f t="shared" si="1"/>
        <v>0</v>
      </c>
      <c r="I25" s="4"/>
      <c r="J25" s="652"/>
      <c r="K25" s="652"/>
      <c r="L25" s="652"/>
      <c r="M25" s="592">
        <f>E25*900</f>
        <v>0</v>
      </c>
      <c r="N25" s="652"/>
      <c r="O25" s="652"/>
      <c r="P25" s="4"/>
      <c r="Q25" s="4"/>
      <c r="R25" s="4"/>
    </row>
    <row r="26" spans="1:18" ht="16.05" customHeight="1" thickBot="1" x14ac:dyDescent="0.25">
      <c r="A26" s="494"/>
      <c r="B26" s="490">
        <v>121209</v>
      </c>
      <c r="C26" s="491" t="s">
        <v>119</v>
      </c>
      <c r="D26" s="492" t="s">
        <v>10</v>
      </c>
      <c r="E26" s="492">
        <f>IF(OR(AND(G11&gt;=15.1, G11&lt;=20), AND(G11&gt;=30.1, G11&lt;=35), AND(G11&gt;=40.1, G11&lt;=45)), 1, IF(AND(G11&gt;=37.6, G11&lt;=40), 2, 0))</f>
        <v>0</v>
      </c>
      <c r="F26" s="611">
        <v>99</v>
      </c>
      <c r="G26" s="495">
        <f t="shared" si="0"/>
        <v>0</v>
      </c>
      <c r="H26" s="46">
        <f t="shared" si="1"/>
        <v>0</v>
      </c>
      <c r="I26" s="4"/>
      <c r="J26" s="652"/>
      <c r="K26" s="652"/>
      <c r="L26" s="652"/>
      <c r="M26" s="592" t="s">
        <v>455</v>
      </c>
      <c r="N26" s="652"/>
      <c r="O26" s="652"/>
      <c r="P26" s="4"/>
      <c r="Q26" s="4"/>
      <c r="R26" s="4"/>
    </row>
    <row r="27" spans="1:18" ht="16.05" customHeight="1" thickBot="1" x14ac:dyDescent="0.25">
      <c r="A27" s="519"/>
      <c r="B27" s="537">
        <v>121509</v>
      </c>
      <c r="C27" s="620" t="s">
        <v>120</v>
      </c>
      <c r="D27" s="621" t="s">
        <v>10</v>
      </c>
      <c r="E27" s="621">
        <f>IF(OR(AND(G11&gt;=20.1, G11&lt;=25), AND(G11&gt;=35.6, G11&lt;=37.5), AND(G11&gt;=40.1, G11&lt;=45)), 1, IF(AND(G11&gt;=45.1, G11&lt;=50), 2, 0))</f>
        <v>0</v>
      </c>
      <c r="F27" s="622">
        <v>123</v>
      </c>
      <c r="G27" s="520">
        <f t="shared" si="0"/>
        <v>0</v>
      </c>
      <c r="H27" s="46">
        <f t="shared" si="1"/>
        <v>0</v>
      </c>
      <c r="I27" s="4"/>
      <c r="J27" s="652"/>
      <c r="K27" s="652"/>
      <c r="L27" s="652"/>
      <c r="M27" s="592">
        <f>E27*1500</f>
        <v>0</v>
      </c>
      <c r="N27" s="652"/>
      <c r="O27" s="652"/>
      <c r="P27" s="4"/>
      <c r="Q27" s="4"/>
      <c r="R27" s="4"/>
    </row>
    <row r="28" spans="1:18" ht="16.05" customHeight="1" thickTop="1" thickBot="1" x14ac:dyDescent="0.25">
      <c r="A28" s="54" t="s">
        <v>94</v>
      </c>
      <c r="B28" s="392"/>
      <c r="C28" s="392"/>
      <c r="D28" s="392"/>
      <c r="E28" s="392"/>
      <c r="F28" s="392"/>
      <c r="G28" s="488"/>
      <c r="H28" s="46">
        <f>SUM(H29:H30)</f>
        <v>0</v>
      </c>
      <c r="I28" s="4"/>
      <c r="J28" s="652"/>
      <c r="K28" s="652"/>
      <c r="L28" s="652"/>
      <c r="M28" s="654"/>
      <c r="N28" s="652" t="s">
        <v>14</v>
      </c>
      <c r="O28" s="652"/>
      <c r="P28" s="4"/>
      <c r="Q28" s="4"/>
      <c r="R28" s="4"/>
    </row>
    <row r="29" spans="1:18" ht="16.05" customHeight="1" thickTop="1" thickBot="1" x14ac:dyDescent="0.25">
      <c r="A29" s="532"/>
      <c r="B29" s="629">
        <v>160108</v>
      </c>
      <c r="C29" s="539" t="s">
        <v>450</v>
      </c>
      <c r="D29" s="540" t="s">
        <v>138</v>
      </c>
      <c r="E29" s="540"/>
      <c r="F29" s="628">
        <v>14</v>
      </c>
      <c r="G29" s="522">
        <f>E29*F29</f>
        <v>0</v>
      </c>
      <c r="H29" s="46">
        <f>E29</f>
        <v>0</v>
      </c>
      <c r="J29" s="403"/>
      <c r="K29" s="403"/>
      <c r="L29" s="652"/>
      <c r="M29" s="654"/>
      <c r="N29" s="403"/>
      <c r="O29" s="403"/>
    </row>
    <row r="30" spans="1:18" ht="16.05" customHeight="1" thickBot="1" x14ac:dyDescent="0.25">
      <c r="A30" s="519"/>
      <c r="B30" s="623">
        <v>720310</v>
      </c>
      <c r="C30" s="624" t="s">
        <v>151</v>
      </c>
      <c r="D30" s="625" t="s">
        <v>10</v>
      </c>
      <c r="E30" s="625"/>
      <c r="F30" s="622">
        <v>17</v>
      </c>
      <c r="G30" s="496">
        <f>E30*F30</f>
        <v>0</v>
      </c>
      <c r="H30" s="46">
        <f>E30</f>
        <v>0</v>
      </c>
      <c r="J30" s="403"/>
      <c r="K30" s="403"/>
      <c r="L30" s="652"/>
      <c r="M30" s="652"/>
      <c r="N30" s="403"/>
      <c r="O30" s="403"/>
    </row>
    <row r="31" spans="1:18" ht="16.05" customHeight="1" thickTop="1" thickBot="1" x14ac:dyDescent="0.25">
      <c r="A31" s="743" t="s">
        <v>18</v>
      </c>
      <c r="B31" s="744"/>
      <c r="C31" s="744"/>
      <c r="D31" s="744"/>
      <c r="E31" s="744"/>
      <c r="F31" s="745"/>
      <c r="G31" s="473">
        <f>SUM(G21:G30)</f>
        <v>0</v>
      </c>
      <c r="J31" s="403"/>
      <c r="K31" s="403"/>
      <c r="L31" s="403"/>
      <c r="M31" s="403"/>
      <c r="N31" s="403"/>
      <c r="O31" s="403"/>
    </row>
    <row r="32" spans="1:18" ht="16.05" customHeight="1" thickTop="1" thickBot="1" x14ac:dyDescent="0.25">
      <c r="A32" s="630">
        <v>0</v>
      </c>
      <c r="B32" s="746" t="s">
        <v>70</v>
      </c>
      <c r="C32" s="746"/>
      <c r="D32" s="746"/>
      <c r="E32" s="746"/>
      <c r="F32" s="747"/>
      <c r="G32" s="77">
        <f>G31*(1-A32)</f>
        <v>0</v>
      </c>
      <c r="J32" s="403"/>
      <c r="K32" s="403"/>
      <c r="L32" s="403"/>
      <c r="M32" s="403"/>
      <c r="N32" s="403"/>
      <c r="O32" s="403"/>
    </row>
    <row r="33" spans="1:22" ht="16.05" customHeight="1" thickTop="1" thickBot="1" x14ac:dyDescent="0.25">
      <c r="A33" s="30" t="s">
        <v>19</v>
      </c>
      <c r="B33" s="31"/>
      <c r="C33" s="31"/>
      <c r="D33" s="31"/>
      <c r="E33" s="31"/>
      <c r="F33" s="31"/>
      <c r="G33" s="77">
        <f>G32*1.21</f>
        <v>0</v>
      </c>
      <c r="J33" s="403"/>
      <c r="K33" s="403"/>
      <c r="L33" s="403"/>
      <c r="M33" s="403"/>
      <c r="N33" s="403"/>
      <c r="O33" s="403"/>
    </row>
    <row r="34" spans="1:22" ht="12.45" customHeight="1" thickTop="1" x14ac:dyDescent="0.2">
      <c r="J34" s="403"/>
      <c r="K34" s="403"/>
      <c r="L34" s="403"/>
      <c r="M34" s="403"/>
      <c r="N34" s="403"/>
      <c r="O34" s="403"/>
    </row>
    <row r="35" spans="1:22" x14ac:dyDescent="0.2">
      <c r="A35" s="732" t="s">
        <v>20</v>
      </c>
      <c r="B35" s="732"/>
      <c r="C35" s="732"/>
      <c r="D35" s="732"/>
      <c r="E35" s="732"/>
      <c r="F35" s="732"/>
      <c r="G35" s="732"/>
      <c r="J35" s="403"/>
      <c r="K35" s="403"/>
      <c r="L35" s="403"/>
      <c r="M35" s="403"/>
      <c r="N35" s="403"/>
      <c r="O35" s="403"/>
    </row>
    <row r="36" spans="1:22" ht="27.45" customHeight="1" x14ac:dyDescent="0.2">
      <c r="A36" s="733" t="s">
        <v>141</v>
      </c>
      <c r="B36" s="733"/>
      <c r="C36" s="733"/>
      <c r="D36" s="733"/>
      <c r="E36" s="733"/>
      <c r="F36" s="733"/>
      <c r="G36" s="733"/>
      <c r="J36" s="403"/>
      <c r="K36" s="403"/>
      <c r="L36" s="403"/>
      <c r="M36" s="403"/>
      <c r="N36" s="403"/>
      <c r="O36" s="403"/>
    </row>
    <row r="37" spans="1:22" ht="14.4" x14ac:dyDescent="0.3">
      <c r="A37" s="733" t="s">
        <v>462</v>
      </c>
      <c r="B37" s="748"/>
      <c r="C37" s="748"/>
      <c r="D37" s="70">
        <f>SUM(M21:M27)/1000</f>
        <v>0</v>
      </c>
      <c r="E37" s="67"/>
      <c r="F37" s="67"/>
      <c r="G37" s="67"/>
    </row>
    <row r="38" spans="1:22" ht="8.5500000000000007" customHeight="1" x14ac:dyDescent="0.2"/>
    <row r="39" spans="1:22" ht="15" customHeight="1" x14ac:dyDescent="0.2">
      <c r="A39" s="2" t="s">
        <v>21</v>
      </c>
      <c r="B39" s="3"/>
      <c r="C39" s="3"/>
      <c r="D39" s="3"/>
      <c r="E39" s="3"/>
      <c r="F39" s="3"/>
      <c r="G39" s="3"/>
    </row>
    <row r="40" spans="1:22" ht="14.55" customHeight="1" x14ac:dyDescent="0.2">
      <c r="A40" s="732" t="s">
        <v>142</v>
      </c>
      <c r="B40" s="732"/>
      <c r="C40" s="732"/>
      <c r="D40" s="732"/>
      <c r="E40" s="732"/>
      <c r="F40" s="732"/>
      <c r="G40" s="732"/>
    </row>
    <row r="41" spans="1:22" ht="14.55" customHeight="1" x14ac:dyDescent="0.2">
      <c r="A41" s="732" t="s">
        <v>22</v>
      </c>
      <c r="B41" s="732"/>
      <c r="C41" s="732"/>
      <c r="D41" s="732"/>
      <c r="E41" s="732"/>
      <c r="F41" s="732"/>
      <c r="G41" s="732"/>
    </row>
    <row r="42" spans="1:22" ht="13.95" customHeight="1" x14ac:dyDescent="0.2">
      <c r="A42" s="732" t="s">
        <v>23</v>
      </c>
      <c r="B42" s="732"/>
      <c r="C42" s="732"/>
      <c r="D42" s="732"/>
      <c r="E42" s="732"/>
      <c r="F42" s="732"/>
      <c r="G42" s="732"/>
    </row>
    <row r="43" spans="1:22" ht="7.5" customHeight="1" x14ac:dyDescent="0.3">
      <c r="A43" s="66"/>
      <c r="B43"/>
      <c r="C43"/>
      <c r="D43"/>
      <c r="E43"/>
      <c r="F43"/>
      <c r="G43"/>
    </row>
    <row r="44" spans="1:22" ht="14.4" x14ac:dyDescent="0.3">
      <c r="B44" s="1" t="s">
        <v>11</v>
      </c>
      <c r="C44" s="2"/>
      <c r="D44"/>
      <c r="E44"/>
      <c r="F44"/>
      <c r="G44"/>
    </row>
    <row r="45" spans="1:22" ht="14.4" x14ac:dyDescent="0.3">
      <c r="B45" s="749"/>
      <c r="C45" s="750"/>
      <c r="D45"/>
      <c r="E45"/>
      <c r="F45"/>
      <c r="G45"/>
    </row>
    <row r="46" spans="1:22" ht="14.4" x14ac:dyDescent="0.3">
      <c r="B46" s="749"/>
      <c r="C46" s="750"/>
      <c r="D46"/>
      <c r="E46"/>
      <c r="F46"/>
      <c r="G46"/>
    </row>
    <row r="47" spans="1:22" ht="14.4" x14ac:dyDescent="0.3">
      <c r="B47" s="76"/>
      <c r="D47"/>
      <c r="E47"/>
      <c r="F47"/>
      <c r="G47"/>
    </row>
    <row r="48" spans="1:22" ht="14.4" x14ac:dyDescent="0.3">
      <c r="B48" s="76" t="s">
        <v>12</v>
      </c>
      <c r="D48"/>
      <c r="E48"/>
      <c r="F48"/>
      <c r="G48"/>
      <c r="M48" s="587"/>
      <c r="N48" s="587"/>
      <c r="O48" s="587"/>
      <c r="P48" s="587"/>
      <c r="Q48" s="587"/>
      <c r="R48" s="590" t="s">
        <v>135</v>
      </c>
      <c r="S48" s="587"/>
      <c r="T48" s="587"/>
      <c r="U48" s="587"/>
      <c r="V48" s="587"/>
    </row>
    <row r="49" spans="1:22" ht="14.4" x14ac:dyDescent="0.3">
      <c r="A49" s="66"/>
      <c r="B49"/>
      <c r="C49"/>
      <c r="D49"/>
      <c r="E49"/>
      <c r="F49"/>
      <c r="G49"/>
      <c r="M49" s="587"/>
      <c r="N49" s="587"/>
      <c r="O49" s="587"/>
      <c r="P49" s="587"/>
      <c r="Q49" s="587"/>
      <c r="R49" s="587"/>
      <c r="S49" s="587"/>
      <c r="T49" s="587"/>
      <c r="U49" s="587"/>
      <c r="V49" s="587"/>
    </row>
    <row r="50" spans="1:22" ht="39" customHeight="1" x14ac:dyDescent="0.3">
      <c r="A50" s="732"/>
      <c r="B50" s="732"/>
      <c r="C50" s="732"/>
      <c r="D50" s="732"/>
      <c r="E50" s="732"/>
      <c r="F50" s="732"/>
      <c r="G50" s="732"/>
      <c r="M50" s="726" t="s">
        <v>92</v>
      </c>
      <c r="N50" s="727"/>
      <c r="O50" s="728"/>
      <c r="P50" s="587"/>
      <c r="Q50" s="726" t="s">
        <v>92</v>
      </c>
      <c r="R50" s="727"/>
      <c r="S50" s="728"/>
      <c r="T50" s="591" t="s">
        <v>114</v>
      </c>
      <c r="U50" s="587"/>
      <c r="V50" s="587"/>
    </row>
    <row r="51" spans="1:22" ht="46.5" customHeight="1" x14ac:dyDescent="0.2">
      <c r="M51" s="586" t="s">
        <v>91</v>
      </c>
      <c r="N51" s="586" t="s">
        <v>95</v>
      </c>
      <c r="O51" s="586" t="s">
        <v>96</v>
      </c>
      <c r="P51" s="592" t="s">
        <v>93</v>
      </c>
      <c r="Q51" s="586" t="s">
        <v>91</v>
      </c>
      <c r="R51" s="586" t="s">
        <v>420</v>
      </c>
      <c r="S51" s="586" t="s">
        <v>96</v>
      </c>
      <c r="T51" s="591" t="s">
        <v>115</v>
      </c>
      <c r="U51" s="587"/>
      <c r="V51" s="587"/>
    </row>
    <row r="52" spans="1:22" ht="12.75" customHeight="1" x14ac:dyDescent="0.2">
      <c r="M52" s="586">
        <v>3</v>
      </c>
      <c r="N52" s="586">
        <v>300</v>
      </c>
      <c r="O52" s="586"/>
      <c r="P52" s="593">
        <f>M52*2</f>
        <v>6</v>
      </c>
      <c r="Q52" s="586">
        <v>3</v>
      </c>
      <c r="R52" s="586">
        <v>300</v>
      </c>
      <c r="S52" s="586"/>
      <c r="T52" s="591" t="s">
        <v>116</v>
      </c>
      <c r="U52" s="587"/>
      <c r="V52" s="587"/>
    </row>
    <row r="53" spans="1:22" ht="16.5" customHeight="1" x14ac:dyDescent="0.2">
      <c r="B53" s="1"/>
      <c r="C53" s="2"/>
      <c r="M53" s="586">
        <v>3.5</v>
      </c>
      <c r="N53" s="586">
        <v>300</v>
      </c>
      <c r="O53" s="586"/>
      <c r="P53" s="593">
        <f t="shared" ref="P53:P116" si="2">M53*2</f>
        <v>7</v>
      </c>
      <c r="Q53" s="586">
        <v>3.5</v>
      </c>
      <c r="R53" s="586">
        <v>300</v>
      </c>
      <c r="S53" s="586"/>
      <c r="T53" s="591" t="s">
        <v>117</v>
      </c>
      <c r="U53" s="587"/>
      <c r="V53" s="587"/>
    </row>
    <row r="54" spans="1:22" ht="16.5" customHeight="1" x14ac:dyDescent="0.2">
      <c r="B54" s="749"/>
      <c r="C54" s="750"/>
      <c r="M54" s="586">
        <v>4</v>
      </c>
      <c r="N54" s="586">
        <v>300</v>
      </c>
      <c r="O54" s="586"/>
      <c r="P54" s="593">
        <f t="shared" si="2"/>
        <v>8</v>
      </c>
      <c r="Q54" s="586">
        <v>4</v>
      </c>
      <c r="R54" s="586">
        <v>300</v>
      </c>
      <c r="S54" s="586"/>
      <c r="T54" s="591" t="s">
        <v>118</v>
      </c>
      <c r="U54" s="587"/>
      <c r="V54" s="587"/>
    </row>
    <row r="55" spans="1:22" ht="17.25" customHeight="1" x14ac:dyDescent="0.2">
      <c r="B55" s="749"/>
      <c r="C55" s="750"/>
      <c r="M55" s="586">
        <v>4.5</v>
      </c>
      <c r="N55" s="586">
        <v>300</v>
      </c>
      <c r="O55" s="586"/>
      <c r="P55" s="593">
        <f t="shared" si="2"/>
        <v>9</v>
      </c>
      <c r="Q55" s="586">
        <v>4.5</v>
      </c>
      <c r="R55" s="586">
        <v>300</v>
      </c>
      <c r="S55" s="586"/>
      <c r="T55" s="591" t="s">
        <v>119</v>
      </c>
      <c r="U55" s="587"/>
      <c r="V55" s="587"/>
    </row>
    <row r="56" spans="1:22" ht="26.25" customHeight="1" x14ac:dyDescent="0.2">
      <c r="B56" s="6"/>
      <c r="M56" s="586">
        <v>5</v>
      </c>
      <c r="N56" s="586">
        <v>300</v>
      </c>
      <c r="O56" s="586"/>
      <c r="P56" s="593">
        <f t="shared" si="2"/>
        <v>10</v>
      </c>
      <c r="Q56" s="586">
        <v>5</v>
      </c>
      <c r="R56" s="586">
        <v>300</v>
      </c>
      <c r="S56" s="586"/>
      <c r="T56" s="591" t="s">
        <v>120</v>
      </c>
      <c r="U56" s="587"/>
      <c r="V56" s="587"/>
    </row>
    <row r="57" spans="1:22" ht="12.75" customHeight="1" x14ac:dyDescent="0.2">
      <c r="B57" s="6"/>
      <c r="M57" s="586">
        <v>5.5</v>
      </c>
      <c r="N57" s="586">
        <v>450</v>
      </c>
      <c r="O57" s="586"/>
      <c r="P57" s="593">
        <f t="shared" si="2"/>
        <v>11</v>
      </c>
      <c r="Q57" s="586">
        <v>5.0999999999999996</v>
      </c>
      <c r="R57" s="586">
        <v>450</v>
      </c>
      <c r="S57" s="586"/>
      <c r="T57" s="587"/>
      <c r="U57" s="587"/>
      <c r="V57" s="587"/>
    </row>
    <row r="58" spans="1:22" ht="12.75" customHeight="1" x14ac:dyDescent="0.2">
      <c r="M58" s="586">
        <v>6</v>
      </c>
      <c r="N58" s="586">
        <v>450</v>
      </c>
      <c r="O58" s="586"/>
      <c r="P58" s="593">
        <f t="shared" si="2"/>
        <v>12</v>
      </c>
      <c r="Q58" s="586">
        <v>6</v>
      </c>
      <c r="R58" s="586">
        <v>450</v>
      </c>
      <c r="S58" s="586"/>
      <c r="T58" s="587"/>
      <c r="U58" s="587"/>
      <c r="V58" s="587"/>
    </row>
    <row r="59" spans="1:22" ht="12.75" customHeight="1" x14ac:dyDescent="0.2">
      <c r="M59" s="586">
        <v>6.5</v>
      </c>
      <c r="N59" s="586">
        <v>450</v>
      </c>
      <c r="O59" s="586"/>
      <c r="P59" s="593">
        <f t="shared" si="2"/>
        <v>13</v>
      </c>
      <c r="Q59" s="586">
        <v>6.5</v>
      </c>
      <c r="R59" s="586">
        <v>450</v>
      </c>
      <c r="S59" s="586"/>
      <c r="T59" s="587"/>
      <c r="U59" s="587"/>
      <c r="V59" s="587"/>
    </row>
    <row r="60" spans="1:22" ht="12.75" customHeight="1" x14ac:dyDescent="0.2">
      <c r="M60" s="586">
        <v>7</v>
      </c>
      <c r="N60" s="586">
        <v>450</v>
      </c>
      <c r="O60" s="586"/>
      <c r="P60" s="593">
        <f t="shared" si="2"/>
        <v>14</v>
      </c>
      <c r="Q60" s="586">
        <v>7</v>
      </c>
      <c r="R60" s="586">
        <v>450</v>
      </c>
      <c r="S60" s="586"/>
      <c r="T60" s="587"/>
      <c r="U60" s="587"/>
      <c r="V60" s="587"/>
    </row>
    <row r="61" spans="1:22" ht="26.25" customHeight="1" x14ac:dyDescent="0.2">
      <c r="M61" s="586">
        <v>7.5</v>
      </c>
      <c r="N61" s="586">
        <v>450</v>
      </c>
      <c r="O61" s="586"/>
      <c r="P61" s="593">
        <f t="shared" si="2"/>
        <v>15</v>
      </c>
      <c r="Q61" s="586">
        <v>7.5</v>
      </c>
      <c r="R61" s="586">
        <v>450</v>
      </c>
      <c r="S61" s="586"/>
      <c r="T61" s="587"/>
      <c r="U61" s="587"/>
      <c r="V61" s="587"/>
    </row>
    <row r="62" spans="1:22" ht="13.5" customHeight="1" x14ac:dyDescent="0.2">
      <c r="M62" s="586">
        <v>8</v>
      </c>
      <c r="N62" s="586">
        <v>600</v>
      </c>
      <c r="O62" s="586"/>
      <c r="P62" s="593">
        <f t="shared" si="2"/>
        <v>16</v>
      </c>
      <c r="Q62" s="586">
        <v>7.6</v>
      </c>
      <c r="R62" s="586">
        <v>600</v>
      </c>
      <c r="S62" s="586"/>
      <c r="T62" s="587"/>
      <c r="U62" s="587"/>
      <c r="V62" s="587"/>
    </row>
    <row r="63" spans="1:22" ht="12" customHeight="1" x14ac:dyDescent="0.2">
      <c r="M63" s="586">
        <v>8.5</v>
      </c>
      <c r="N63" s="586">
        <v>600</v>
      </c>
      <c r="O63" s="586"/>
      <c r="P63" s="593">
        <f t="shared" si="2"/>
        <v>17</v>
      </c>
      <c r="Q63" s="586">
        <v>8.5</v>
      </c>
      <c r="R63" s="586">
        <v>600</v>
      </c>
      <c r="S63" s="586"/>
      <c r="T63" s="587"/>
      <c r="U63" s="587"/>
      <c r="V63" s="587"/>
    </row>
    <row r="64" spans="1:22" ht="12.75" customHeight="1" x14ac:dyDescent="0.2">
      <c r="M64" s="586">
        <v>9</v>
      </c>
      <c r="N64" s="586">
        <v>600</v>
      </c>
      <c r="O64" s="586"/>
      <c r="P64" s="593">
        <f t="shared" si="2"/>
        <v>18</v>
      </c>
      <c r="Q64" s="586">
        <v>9</v>
      </c>
      <c r="R64" s="586">
        <v>600</v>
      </c>
      <c r="S64" s="586"/>
      <c r="T64" s="587"/>
      <c r="U64" s="587"/>
      <c r="V64" s="587"/>
    </row>
    <row r="65" spans="1:22" ht="12.75" customHeight="1" x14ac:dyDescent="0.2">
      <c r="A65" s="742"/>
      <c r="B65" s="742"/>
      <c r="C65" s="742"/>
      <c r="D65" s="742"/>
      <c r="E65" s="742"/>
      <c r="F65" s="742"/>
      <c r="G65" s="742"/>
      <c r="M65" s="586">
        <v>9.5</v>
      </c>
      <c r="N65" s="586">
        <v>600</v>
      </c>
      <c r="O65" s="586"/>
      <c r="P65" s="593">
        <f t="shared" si="2"/>
        <v>19</v>
      </c>
      <c r="Q65" s="586">
        <v>9.5</v>
      </c>
      <c r="R65" s="586">
        <v>600</v>
      </c>
      <c r="S65" s="586"/>
      <c r="T65" s="587"/>
      <c r="U65" s="587"/>
      <c r="V65" s="587"/>
    </row>
    <row r="66" spans="1:22" ht="18" customHeight="1" x14ac:dyDescent="0.2">
      <c r="A66" s="589"/>
      <c r="B66" s="589"/>
      <c r="C66" s="589"/>
      <c r="D66" s="589"/>
      <c r="E66" s="589"/>
      <c r="F66" s="589"/>
      <c r="G66" s="589"/>
      <c r="M66" s="586">
        <v>10</v>
      </c>
      <c r="N66" s="586">
        <v>600</v>
      </c>
      <c r="O66" s="586"/>
      <c r="P66" s="593">
        <f t="shared" si="2"/>
        <v>20</v>
      </c>
      <c r="Q66" s="586">
        <v>10</v>
      </c>
      <c r="R66" s="586">
        <v>600</v>
      </c>
      <c r="S66" s="586"/>
      <c r="T66" s="587"/>
      <c r="U66" s="587"/>
      <c r="V66" s="587"/>
    </row>
    <row r="67" spans="1:22" ht="13.95" customHeight="1" x14ac:dyDescent="0.2">
      <c r="A67" s="752"/>
      <c r="B67" s="752"/>
      <c r="C67" s="752"/>
      <c r="D67" s="752"/>
      <c r="E67" s="752"/>
      <c r="F67" s="752"/>
      <c r="G67" s="752"/>
      <c r="M67" s="586">
        <v>10.5</v>
      </c>
      <c r="N67" s="584">
        <v>750</v>
      </c>
      <c r="O67" s="584"/>
      <c r="P67" s="593">
        <f t="shared" si="2"/>
        <v>21</v>
      </c>
      <c r="Q67" s="586">
        <v>10.1</v>
      </c>
      <c r="R67" s="584">
        <v>750</v>
      </c>
      <c r="S67" s="584"/>
      <c r="T67" s="587"/>
      <c r="U67" s="587"/>
      <c r="V67" s="587"/>
    </row>
    <row r="68" spans="1:22" ht="12.75" customHeight="1" x14ac:dyDescent="0.2">
      <c r="A68" s="752"/>
      <c r="B68" s="752"/>
      <c r="C68" s="752"/>
      <c r="D68" s="752"/>
      <c r="E68" s="752"/>
      <c r="F68" s="752"/>
      <c r="G68" s="752"/>
      <c r="M68" s="586">
        <v>11</v>
      </c>
      <c r="N68" s="584">
        <v>750</v>
      </c>
      <c r="O68" s="584"/>
      <c r="P68" s="593">
        <f t="shared" si="2"/>
        <v>22</v>
      </c>
      <c r="Q68" s="586">
        <v>11</v>
      </c>
      <c r="R68" s="584">
        <v>750</v>
      </c>
      <c r="S68" s="584"/>
      <c r="T68" s="587"/>
      <c r="U68" s="587"/>
      <c r="V68" s="587"/>
    </row>
    <row r="69" spans="1:22" ht="16.95" customHeight="1" x14ac:dyDescent="0.2">
      <c r="A69" s="752"/>
      <c r="B69" s="752"/>
      <c r="C69" s="752"/>
      <c r="D69" s="752"/>
      <c r="E69" s="752"/>
      <c r="F69" s="752"/>
      <c r="G69" s="752"/>
      <c r="M69" s="586">
        <v>11.5</v>
      </c>
      <c r="N69" s="584">
        <v>750</v>
      </c>
      <c r="O69" s="584"/>
      <c r="P69" s="593">
        <f t="shared" si="2"/>
        <v>23</v>
      </c>
      <c r="Q69" s="586">
        <v>11.5</v>
      </c>
      <c r="R69" s="584">
        <v>750</v>
      </c>
      <c r="S69" s="584"/>
      <c r="T69" s="587"/>
      <c r="U69" s="587"/>
      <c r="V69" s="587"/>
    </row>
    <row r="70" spans="1:22" ht="13.95" customHeight="1" x14ac:dyDescent="0.2">
      <c r="A70" s="752"/>
      <c r="B70" s="752"/>
      <c r="C70" s="752"/>
      <c r="D70" s="752"/>
      <c r="E70" s="752"/>
      <c r="F70" s="752"/>
      <c r="G70" s="752"/>
      <c r="M70" s="586">
        <v>12</v>
      </c>
      <c r="N70" s="584">
        <v>750</v>
      </c>
      <c r="O70" s="584"/>
      <c r="P70" s="593">
        <f t="shared" si="2"/>
        <v>24</v>
      </c>
      <c r="Q70" s="586">
        <v>12</v>
      </c>
      <c r="R70" s="584">
        <v>750</v>
      </c>
      <c r="S70" s="584"/>
      <c r="T70" s="587"/>
      <c r="U70" s="587"/>
      <c r="V70" s="587"/>
    </row>
    <row r="71" spans="1:22" ht="27" customHeight="1" x14ac:dyDescent="0.2">
      <c r="A71" s="752"/>
      <c r="B71" s="752"/>
      <c r="C71" s="752"/>
      <c r="D71" s="752"/>
      <c r="E71" s="752"/>
      <c r="F71" s="752"/>
      <c r="G71" s="752"/>
      <c r="M71" s="586">
        <v>12.5</v>
      </c>
      <c r="N71" s="584">
        <v>750</v>
      </c>
      <c r="O71" s="584"/>
      <c r="P71" s="593">
        <f t="shared" si="2"/>
        <v>25</v>
      </c>
      <c r="Q71" s="586">
        <v>12.5</v>
      </c>
      <c r="R71" s="584">
        <v>750</v>
      </c>
      <c r="S71" s="584"/>
      <c r="T71" s="587"/>
      <c r="U71" s="587"/>
      <c r="V71" s="587"/>
    </row>
    <row r="72" spans="1:22" ht="12.75" customHeight="1" x14ac:dyDescent="0.2">
      <c r="A72" s="753"/>
      <c r="B72" s="753"/>
      <c r="C72" s="753"/>
      <c r="D72" s="753"/>
      <c r="E72" s="753"/>
      <c r="F72" s="753"/>
      <c r="G72" s="753"/>
      <c r="M72" s="586">
        <v>13</v>
      </c>
      <c r="N72" s="584">
        <v>900</v>
      </c>
      <c r="O72" s="584"/>
      <c r="P72" s="593">
        <f t="shared" si="2"/>
        <v>26</v>
      </c>
      <c r="Q72" s="586">
        <v>12.6</v>
      </c>
      <c r="R72" s="584">
        <v>900</v>
      </c>
      <c r="S72" s="584"/>
      <c r="T72" s="587"/>
      <c r="U72" s="587"/>
      <c r="V72" s="587"/>
    </row>
    <row r="73" spans="1:22" ht="12.75" customHeight="1" x14ac:dyDescent="0.2">
      <c r="A73" s="752"/>
      <c r="B73" s="752"/>
      <c r="C73" s="752"/>
      <c r="D73" s="752"/>
      <c r="E73" s="752"/>
      <c r="F73" s="752"/>
      <c r="G73" s="752"/>
      <c r="M73" s="586">
        <v>13.5</v>
      </c>
      <c r="N73" s="584">
        <v>900</v>
      </c>
      <c r="O73" s="584"/>
      <c r="P73" s="593">
        <f t="shared" si="2"/>
        <v>27</v>
      </c>
      <c r="Q73" s="586">
        <v>13.5</v>
      </c>
      <c r="R73" s="584">
        <v>900</v>
      </c>
      <c r="S73" s="584"/>
      <c r="T73" s="587"/>
      <c r="U73" s="587"/>
      <c r="V73" s="587"/>
    </row>
    <row r="74" spans="1:22" ht="12.75" customHeight="1" x14ac:dyDescent="0.2">
      <c r="A74" s="752"/>
      <c r="B74" s="752"/>
      <c r="C74" s="752"/>
      <c r="D74" s="752"/>
      <c r="E74" s="752"/>
      <c r="F74" s="752"/>
      <c r="G74" s="752"/>
      <c r="M74" s="586">
        <v>14</v>
      </c>
      <c r="N74" s="584">
        <v>900</v>
      </c>
      <c r="O74" s="584"/>
      <c r="P74" s="593">
        <f t="shared" si="2"/>
        <v>28</v>
      </c>
      <c r="Q74" s="586">
        <v>14</v>
      </c>
      <c r="R74" s="584">
        <v>900</v>
      </c>
      <c r="S74" s="584"/>
      <c r="T74" s="587"/>
      <c r="U74" s="587"/>
      <c r="V74" s="587"/>
    </row>
    <row r="75" spans="1:22" ht="12.75" customHeight="1" x14ac:dyDescent="0.2">
      <c r="A75" s="752"/>
      <c r="B75" s="752"/>
      <c r="C75" s="752"/>
      <c r="D75" s="752"/>
      <c r="E75" s="752"/>
      <c r="F75" s="752"/>
      <c r="G75" s="752"/>
      <c r="M75" s="586">
        <v>14.5</v>
      </c>
      <c r="N75" s="584">
        <v>900</v>
      </c>
      <c r="O75" s="584"/>
      <c r="P75" s="593">
        <f t="shared" si="2"/>
        <v>29</v>
      </c>
      <c r="Q75" s="586">
        <v>14.5</v>
      </c>
      <c r="R75" s="584">
        <v>900</v>
      </c>
      <c r="S75" s="584"/>
      <c r="T75" s="587"/>
      <c r="U75" s="587"/>
      <c r="V75" s="587"/>
    </row>
    <row r="76" spans="1:22" ht="27" customHeight="1" x14ac:dyDescent="0.2">
      <c r="A76" s="752"/>
      <c r="B76" s="752"/>
      <c r="C76" s="752"/>
      <c r="D76" s="752"/>
      <c r="E76" s="752"/>
      <c r="F76" s="752"/>
      <c r="G76" s="752"/>
      <c r="M76" s="586">
        <v>15</v>
      </c>
      <c r="N76" s="584">
        <v>900</v>
      </c>
      <c r="O76" s="584"/>
      <c r="P76" s="593">
        <f t="shared" si="2"/>
        <v>30</v>
      </c>
      <c r="Q76" s="586">
        <v>15</v>
      </c>
      <c r="R76" s="584">
        <v>900</v>
      </c>
      <c r="S76" s="584"/>
      <c r="T76" s="587"/>
      <c r="U76" s="587"/>
      <c r="V76" s="587"/>
    </row>
    <row r="77" spans="1:22" ht="12.75" customHeight="1" x14ac:dyDescent="0.2">
      <c r="A77" s="752"/>
      <c r="B77" s="752"/>
      <c r="C77" s="752"/>
      <c r="D77" s="752"/>
      <c r="E77" s="752"/>
      <c r="F77" s="752"/>
      <c r="G77" s="752"/>
      <c r="M77" s="586">
        <v>15.5</v>
      </c>
      <c r="N77" s="584">
        <v>1200</v>
      </c>
      <c r="O77" s="584"/>
      <c r="P77" s="593">
        <f t="shared" si="2"/>
        <v>31</v>
      </c>
      <c r="Q77" s="586">
        <v>15.1</v>
      </c>
      <c r="R77" s="584">
        <v>1200</v>
      </c>
      <c r="S77" s="584"/>
      <c r="T77" s="587"/>
      <c r="U77" s="587"/>
      <c r="V77" s="587"/>
    </row>
    <row r="78" spans="1:22" ht="12.75" customHeight="1" x14ac:dyDescent="0.2">
      <c r="A78" s="752"/>
      <c r="B78" s="752"/>
      <c r="C78" s="752"/>
      <c r="D78" s="752"/>
      <c r="E78" s="752"/>
      <c r="F78" s="752"/>
      <c r="G78" s="752"/>
      <c r="M78" s="586">
        <v>16</v>
      </c>
      <c r="N78" s="584">
        <v>1200</v>
      </c>
      <c r="O78" s="584"/>
      <c r="P78" s="593">
        <f t="shared" si="2"/>
        <v>32</v>
      </c>
      <c r="Q78" s="586">
        <v>16</v>
      </c>
      <c r="R78" s="584">
        <v>1200</v>
      </c>
      <c r="S78" s="584"/>
      <c r="T78" s="587"/>
      <c r="U78" s="587"/>
      <c r="V78" s="587"/>
    </row>
    <row r="79" spans="1:22" ht="12.75" customHeight="1" x14ac:dyDescent="0.2">
      <c r="M79" s="586">
        <v>16.5</v>
      </c>
      <c r="N79" s="584">
        <v>1200</v>
      </c>
      <c r="O79" s="584"/>
      <c r="P79" s="593">
        <f t="shared" si="2"/>
        <v>33</v>
      </c>
      <c r="Q79" s="586">
        <v>16.5</v>
      </c>
      <c r="R79" s="584">
        <v>1200</v>
      </c>
      <c r="S79" s="584"/>
      <c r="T79" s="587"/>
      <c r="U79" s="587"/>
      <c r="V79" s="587"/>
    </row>
    <row r="80" spans="1:22" ht="12.75" customHeight="1" x14ac:dyDescent="0.2">
      <c r="M80" s="586">
        <v>17</v>
      </c>
      <c r="N80" s="584">
        <v>1200</v>
      </c>
      <c r="O80" s="584"/>
      <c r="P80" s="593">
        <f t="shared" si="2"/>
        <v>34</v>
      </c>
      <c r="Q80" s="586">
        <v>17</v>
      </c>
      <c r="R80" s="584">
        <v>1200</v>
      </c>
      <c r="S80" s="584"/>
      <c r="T80" s="587"/>
      <c r="U80" s="587"/>
      <c r="V80" s="587"/>
    </row>
    <row r="81" spans="1:22" ht="12.75" customHeight="1" x14ac:dyDescent="0.2">
      <c r="M81" s="586">
        <v>17.5</v>
      </c>
      <c r="N81" s="584">
        <v>1200</v>
      </c>
      <c r="O81" s="584"/>
      <c r="P81" s="593">
        <f t="shared" si="2"/>
        <v>35</v>
      </c>
      <c r="Q81" s="586">
        <v>17.5</v>
      </c>
      <c r="R81" s="584">
        <v>1200</v>
      </c>
      <c r="S81" s="584"/>
      <c r="T81" s="587"/>
      <c r="U81" s="587"/>
      <c r="V81" s="587"/>
    </row>
    <row r="82" spans="1:22" ht="12.75" customHeight="1" x14ac:dyDescent="0.2">
      <c r="M82" s="586">
        <v>18</v>
      </c>
      <c r="N82" s="584">
        <v>1200</v>
      </c>
      <c r="O82" s="584"/>
      <c r="P82" s="593">
        <f t="shared" si="2"/>
        <v>36</v>
      </c>
      <c r="Q82" s="586">
        <v>18</v>
      </c>
      <c r="R82" s="584">
        <v>1200</v>
      </c>
      <c r="S82" s="584"/>
      <c r="T82" s="587"/>
      <c r="U82" s="587"/>
      <c r="V82" s="587"/>
    </row>
    <row r="83" spans="1:22" ht="12.75" customHeight="1" x14ac:dyDescent="0.2">
      <c r="M83" s="586">
        <v>18.5</v>
      </c>
      <c r="N83" s="584">
        <v>1200</v>
      </c>
      <c r="O83" s="584"/>
      <c r="P83" s="593">
        <f t="shared" si="2"/>
        <v>37</v>
      </c>
      <c r="Q83" s="586">
        <v>18.5</v>
      </c>
      <c r="R83" s="584">
        <v>1200</v>
      </c>
      <c r="S83" s="584"/>
      <c r="T83" s="587"/>
      <c r="U83" s="587"/>
      <c r="V83" s="587"/>
    </row>
    <row r="84" spans="1:22" ht="12.75" customHeight="1" x14ac:dyDescent="0.2">
      <c r="M84" s="586">
        <v>19</v>
      </c>
      <c r="N84" s="584">
        <v>1200</v>
      </c>
      <c r="O84" s="584"/>
      <c r="P84" s="593">
        <f t="shared" si="2"/>
        <v>38</v>
      </c>
      <c r="Q84" s="586">
        <v>19</v>
      </c>
      <c r="R84" s="584">
        <v>1200</v>
      </c>
      <c r="S84" s="584"/>
      <c r="T84" s="587"/>
      <c r="U84" s="587"/>
      <c r="V84" s="587"/>
    </row>
    <row r="85" spans="1:22" ht="12.75" customHeight="1" x14ac:dyDescent="0.2">
      <c r="M85" s="586">
        <v>19.5</v>
      </c>
      <c r="N85" s="584">
        <v>1200</v>
      </c>
      <c r="O85" s="584"/>
      <c r="P85" s="593">
        <f t="shared" si="2"/>
        <v>39</v>
      </c>
      <c r="Q85" s="586">
        <v>19.5</v>
      </c>
      <c r="R85" s="584">
        <v>1200</v>
      </c>
      <c r="S85" s="584"/>
      <c r="T85" s="587"/>
      <c r="U85" s="587"/>
      <c r="V85" s="587"/>
    </row>
    <row r="86" spans="1:22" ht="12.75" customHeight="1" x14ac:dyDescent="0.2">
      <c r="M86" s="586">
        <v>20</v>
      </c>
      <c r="N86" s="584">
        <v>1200</v>
      </c>
      <c r="O86" s="584"/>
      <c r="P86" s="593">
        <f t="shared" si="2"/>
        <v>40</v>
      </c>
      <c r="Q86" s="586">
        <v>20</v>
      </c>
      <c r="R86" s="584">
        <v>1200</v>
      </c>
      <c r="S86" s="584"/>
      <c r="T86" s="587"/>
      <c r="U86" s="587"/>
      <c r="V86" s="587"/>
    </row>
    <row r="87" spans="1:22" ht="12.75" customHeight="1" x14ac:dyDescent="0.2">
      <c r="M87" s="586">
        <v>20.5</v>
      </c>
      <c r="N87" s="584">
        <v>1500</v>
      </c>
      <c r="O87" s="584"/>
      <c r="P87" s="593">
        <f t="shared" si="2"/>
        <v>41</v>
      </c>
      <c r="Q87" s="586">
        <v>20.100000000000001</v>
      </c>
      <c r="R87" s="584">
        <v>1500</v>
      </c>
      <c r="S87" s="584"/>
      <c r="T87" s="587"/>
      <c r="U87" s="587"/>
      <c r="V87" s="587"/>
    </row>
    <row r="88" spans="1:22" ht="12.75" customHeight="1" x14ac:dyDescent="0.2">
      <c r="M88" s="586">
        <v>21</v>
      </c>
      <c r="N88" s="584">
        <v>1500</v>
      </c>
      <c r="O88" s="584"/>
      <c r="P88" s="593">
        <f t="shared" si="2"/>
        <v>42</v>
      </c>
      <c r="Q88" s="586">
        <v>21</v>
      </c>
      <c r="R88" s="584">
        <v>1500</v>
      </c>
      <c r="S88" s="584"/>
      <c r="T88" s="587"/>
      <c r="U88" s="587"/>
      <c r="V88" s="587"/>
    </row>
    <row r="89" spans="1:22" ht="12.75" customHeight="1" x14ac:dyDescent="0.2">
      <c r="M89" s="586">
        <v>21.5</v>
      </c>
      <c r="N89" s="584">
        <v>1500</v>
      </c>
      <c r="O89" s="584"/>
      <c r="P89" s="593">
        <f t="shared" si="2"/>
        <v>43</v>
      </c>
      <c r="Q89" s="586">
        <v>21.5</v>
      </c>
      <c r="R89" s="584">
        <v>1500</v>
      </c>
      <c r="S89" s="584"/>
      <c r="T89" s="587"/>
      <c r="U89" s="587"/>
      <c r="V89" s="587"/>
    </row>
    <row r="90" spans="1:22" ht="12.75" customHeight="1" x14ac:dyDescent="0.2">
      <c r="M90" s="586">
        <v>22</v>
      </c>
      <c r="N90" s="584">
        <v>1500</v>
      </c>
      <c r="O90" s="584"/>
      <c r="P90" s="593">
        <f t="shared" si="2"/>
        <v>44</v>
      </c>
      <c r="Q90" s="586">
        <v>22</v>
      </c>
      <c r="R90" s="584">
        <v>1500</v>
      </c>
      <c r="S90" s="584"/>
      <c r="T90" s="587"/>
      <c r="U90" s="587"/>
      <c r="V90" s="587"/>
    </row>
    <row r="91" spans="1:22" ht="12.75" customHeight="1" x14ac:dyDescent="0.2">
      <c r="A91" s="751"/>
      <c r="B91" s="751"/>
      <c r="C91" s="751"/>
      <c r="D91" s="751"/>
      <c r="E91" s="751"/>
      <c r="F91" s="751"/>
      <c r="G91" s="751"/>
      <c r="M91" s="586">
        <v>22.5</v>
      </c>
      <c r="N91" s="584">
        <v>1500</v>
      </c>
      <c r="O91" s="584"/>
      <c r="P91" s="593">
        <f t="shared" si="2"/>
        <v>45</v>
      </c>
      <c r="Q91" s="586">
        <v>22.5</v>
      </c>
      <c r="R91" s="584">
        <v>1500</v>
      </c>
      <c r="S91" s="584"/>
      <c r="T91" s="587"/>
      <c r="U91" s="587"/>
      <c r="V91" s="587"/>
    </row>
    <row r="92" spans="1:22" ht="12.75" customHeight="1" x14ac:dyDescent="0.2">
      <c r="M92" s="586">
        <v>23</v>
      </c>
      <c r="N92" s="584">
        <v>1500</v>
      </c>
      <c r="O92" s="584"/>
      <c r="P92" s="593">
        <f t="shared" si="2"/>
        <v>46</v>
      </c>
      <c r="Q92" s="586">
        <v>23</v>
      </c>
      <c r="R92" s="584">
        <v>1500</v>
      </c>
      <c r="S92" s="584"/>
      <c r="T92" s="587"/>
      <c r="U92" s="587"/>
      <c r="V92" s="587"/>
    </row>
    <row r="93" spans="1:22" ht="12.75" customHeight="1" x14ac:dyDescent="0.2">
      <c r="M93" s="586">
        <v>23.5</v>
      </c>
      <c r="N93" s="584">
        <v>1500</v>
      </c>
      <c r="O93" s="584"/>
      <c r="P93" s="593">
        <f t="shared" si="2"/>
        <v>47</v>
      </c>
      <c r="Q93" s="586">
        <v>23.5</v>
      </c>
      <c r="R93" s="584">
        <v>1500</v>
      </c>
      <c r="S93" s="584"/>
      <c r="T93" s="587"/>
      <c r="U93" s="587"/>
      <c r="V93" s="587"/>
    </row>
    <row r="94" spans="1:22" ht="12.75" customHeight="1" x14ac:dyDescent="0.2">
      <c r="M94" s="586">
        <v>24</v>
      </c>
      <c r="N94" s="584">
        <v>1500</v>
      </c>
      <c r="O94" s="584"/>
      <c r="P94" s="593">
        <f t="shared" si="2"/>
        <v>48</v>
      </c>
      <c r="Q94" s="586">
        <v>24</v>
      </c>
      <c r="R94" s="584">
        <v>1500</v>
      </c>
      <c r="S94" s="584"/>
      <c r="T94" s="587"/>
      <c r="U94" s="587"/>
      <c r="V94" s="587"/>
    </row>
    <row r="95" spans="1:22" ht="12.75" customHeight="1" x14ac:dyDescent="0.2">
      <c r="M95" s="586">
        <v>24.5</v>
      </c>
      <c r="N95" s="584">
        <v>1500</v>
      </c>
      <c r="O95" s="584"/>
      <c r="P95" s="593">
        <f t="shared" si="2"/>
        <v>49</v>
      </c>
      <c r="Q95" s="586">
        <v>24.5</v>
      </c>
      <c r="R95" s="584">
        <v>1500</v>
      </c>
      <c r="S95" s="584"/>
      <c r="T95" s="587"/>
      <c r="U95" s="587"/>
      <c r="V95" s="587"/>
    </row>
    <row r="96" spans="1:22" ht="12.75" customHeight="1" x14ac:dyDescent="0.2">
      <c r="M96" s="586">
        <v>25</v>
      </c>
      <c r="N96" s="584">
        <v>1500</v>
      </c>
      <c r="O96" s="584"/>
      <c r="P96" s="593">
        <f t="shared" si="2"/>
        <v>50</v>
      </c>
      <c r="Q96" s="586">
        <v>25</v>
      </c>
      <c r="R96" s="584">
        <v>1500</v>
      </c>
      <c r="S96" s="584"/>
      <c r="T96" s="587"/>
      <c r="U96" s="587"/>
      <c r="V96" s="587"/>
    </row>
    <row r="97" spans="13:22" ht="12.75" customHeight="1" x14ac:dyDescent="0.2">
      <c r="M97" s="586">
        <v>25.5</v>
      </c>
      <c r="N97" s="584">
        <v>750</v>
      </c>
      <c r="O97" s="584">
        <v>900</v>
      </c>
      <c r="P97" s="593">
        <f t="shared" si="2"/>
        <v>51</v>
      </c>
      <c r="Q97" s="586">
        <v>25.1</v>
      </c>
      <c r="R97" s="584">
        <v>750</v>
      </c>
      <c r="S97" s="584">
        <v>900</v>
      </c>
      <c r="T97" s="587"/>
      <c r="U97" s="587"/>
      <c r="V97" s="587"/>
    </row>
    <row r="98" spans="13:22" ht="12.75" customHeight="1" x14ac:dyDescent="0.2">
      <c r="M98" s="586">
        <v>26</v>
      </c>
      <c r="N98" s="584">
        <v>750</v>
      </c>
      <c r="O98" s="584">
        <v>900</v>
      </c>
      <c r="P98" s="593">
        <f t="shared" si="2"/>
        <v>52</v>
      </c>
      <c r="Q98" s="586">
        <v>26</v>
      </c>
      <c r="R98" s="584">
        <v>750</v>
      </c>
      <c r="S98" s="584">
        <v>900</v>
      </c>
      <c r="T98" s="587"/>
      <c r="U98" s="587"/>
      <c r="V98" s="587"/>
    </row>
    <row r="99" spans="13:22" ht="12.75" customHeight="1" x14ac:dyDescent="0.2">
      <c r="M99" s="586">
        <v>26.5</v>
      </c>
      <c r="N99" s="584">
        <v>750</v>
      </c>
      <c r="O99" s="584">
        <v>900</v>
      </c>
      <c r="P99" s="593">
        <f t="shared" si="2"/>
        <v>53</v>
      </c>
      <c r="Q99" s="586">
        <v>26.5</v>
      </c>
      <c r="R99" s="584">
        <v>750</v>
      </c>
      <c r="S99" s="584">
        <v>900</v>
      </c>
      <c r="T99" s="587"/>
      <c r="U99" s="587"/>
      <c r="V99" s="587"/>
    </row>
    <row r="100" spans="13:22" ht="12.75" customHeight="1" x14ac:dyDescent="0.2">
      <c r="M100" s="586">
        <v>27</v>
      </c>
      <c r="N100" s="584">
        <v>750</v>
      </c>
      <c r="O100" s="584">
        <v>900</v>
      </c>
      <c r="P100" s="593">
        <f t="shared" si="2"/>
        <v>54</v>
      </c>
      <c r="Q100" s="586">
        <v>27</v>
      </c>
      <c r="R100" s="584">
        <v>750</v>
      </c>
      <c r="S100" s="584">
        <v>900</v>
      </c>
      <c r="T100" s="587"/>
      <c r="U100" s="587"/>
      <c r="V100" s="587"/>
    </row>
    <row r="101" spans="13:22" ht="12.75" customHeight="1" x14ac:dyDescent="0.2">
      <c r="M101" s="586">
        <v>27.5</v>
      </c>
      <c r="N101" s="584">
        <v>750</v>
      </c>
      <c r="O101" s="584">
        <v>900</v>
      </c>
      <c r="P101" s="593">
        <f t="shared" si="2"/>
        <v>55</v>
      </c>
      <c r="Q101" s="586">
        <v>27.5</v>
      </c>
      <c r="R101" s="584">
        <v>750</v>
      </c>
      <c r="S101" s="584">
        <v>900</v>
      </c>
      <c r="T101" s="587"/>
      <c r="U101" s="587"/>
      <c r="V101" s="587"/>
    </row>
    <row r="102" spans="13:22" ht="12.75" customHeight="1" x14ac:dyDescent="0.2">
      <c r="M102" s="586">
        <v>28</v>
      </c>
      <c r="N102" s="584">
        <v>900</v>
      </c>
      <c r="O102" s="584">
        <v>900</v>
      </c>
      <c r="P102" s="593">
        <f t="shared" si="2"/>
        <v>56</v>
      </c>
      <c r="Q102" s="586">
        <v>27.6</v>
      </c>
      <c r="R102" s="584">
        <v>900</v>
      </c>
      <c r="S102" s="584">
        <v>900</v>
      </c>
      <c r="T102" s="587"/>
      <c r="U102" s="587"/>
      <c r="V102" s="587"/>
    </row>
    <row r="103" spans="13:22" ht="12.75" customHeight="1" x14ac:dyDescent="0.2">
      <c r="M103" s="586">
        <v>28.5</v>
      </c>
      <c r="N103" s="584">
        <v>900</v>
      </c>
      <c r="O103" s="584">
        <v>900</v>
      </c>
      <c r="P103" s="593">
        <f t="shared" si="2"/>
        <v>57</v>
      </c>
      <c r="Q103" s="586">
        <v>28.5</v>
      </c>
      <c r="R103" s="584">
        <v>900</v>
      </c>
      <c r="S103" s="584">
        <v>900</v>
      </c>
      <c r="T103" s="587"/>
      <c r="U103" s="587"/>
      <c r="V103" s="587"/>
    </row>
    <row r="104" spans="13:22" ht="12.75" customHeight="1" x14ac:dyDescent="0.2">
      <c r="M104" s="586">
        <v>29</v>
      </c>
      <c r="N104" s="584">
        <v>900</v>
      </c>
      <c r="O104" s="584">
        <v>900</v>
      </c>
      <c r="P104" s="593">
        <f t="shared" si="2"/>
        <v>58</v>
      </c>
      <c r="Q104" s="586">
        <v>29</v>
      </c>
      <c r="R104" s="584">
        <v>900</v>
      </c>
      <c r="S104" s="584">
        <v>900</v>
      </c>
      <c r="T104" s="587"/>
      <c r="U104" s="587"/>
      <c r="V104" s="587"/>
    </row>
    <row r="105" spans="13:22" ht="12.75" customHeight="1" x14ac:dyDescent="0.2">
      <c r="M105" s="586">
        <v>29.5</v>
      </c>
      <c r="N105" s="584">
        <v>900</v>
      </c>
      <c r="O105" s="584">
        <v>900</v>
      </c>
      <c r="P105" s="593">
        <f t="shared" si="2"/>
        <v>59</v>
      </c>
      <c r="Q105" s="586">
        <v>29.5</v>
      </c>
      <c r="R105" s="584">
        <v>900</v>
      </c>
      <c r="S105" s="584">
        <v>900</v>
      </c>
      <c r="T105" s="587"/>
      <c r="U105" s="587"/>
      <c r="V105" s="587"/>
    </row>
    <row r="106" spans="13:22" ht="12.75" customHeight="1" x14ac:dyDescent="0.2">
      <c r="M106" s="586">
        <v>30</v>
      </c>
      <c r="N106" s="584">
        <v>900</v>
      </c>
      <c r="O106" s="584">
        <v>900</v>
      </c>
      <c r="P106" s="593">
        <f t="shared" si="2"/>
        <v>60</v>
      </c>
      <c r="Q106" s="586">
        <v>30</v>
      </c>
      <c r="R106" s="584">
        <v>900</v>
      </c>
      <c r="S106" s="584">
        <v>900</v>
      </c>
      <c r="T106" s="587"/>
      <c r="U106" s="587"/>
      <c r="V106" s="587"/>
    </row>
    <row r="107" spans="13:22" ht="12.75" customHeight="1" x14ac:dyDescent="0.2">
      <c r="M107" s="586">
        <v>30.5</v>
      </c>
      <c r="N107" s="584">
        <v>750</v>
      </c>
      <c r="O107" s="584">
        <v>1200</v>
      </c>
      <c r="P107" s="593">
        <f t="shared" si="2"/>
        <v>61</v>
      </c>
      <c r="Q107" s="586">
        <v>30.1</v>
      </c>
      <c r="R107" s="584">
        <v>750</v>
      </c>
      <c r="S107" s="584">
        <v>1200</v>
      </c>
      <c r="T107" s="587"/>
      <c r="U107" s="587"/>
      <c r="V107" s="587"/>
    </row>
    <row r="108" spans="13:22" ht="12.75" customHeight="1" x14ac:dyDescent="0.2">
      <c r="M108" s="586">
        <v>31</v>
      </c>
      <c r="N108" s="584">
        <v>750</v>
      </c>
      <c r="O108" s="584">
        <v>1200</v>
      </c>
      <c r="P108" s="593">
        <f t="shared" si="2"/>
        <v>62</v>
      </c>
      <c r="Q108" s="586">
        <v>31</v>
      </c>
      <c r="R108" s="584">
        <v>750</v>
      </c>
      <c r="S108" s="584">
        <v>1200</v>
      </c>
      <c r="T108" s="587"/>
      <c r="U108" s="587"/>
      <c r="V108" s="587"/>
    </row>
    <row r="109" spans="13:22" ht="12.75" customHeight="1" x14ac:dyDescent="0.2">
      <c r="M109" s="586">
        <v>31.5</v>
      </c>
      <c r="N109" s="584">
        <v>750</v>
      </c>
      <c r="O109" s="584">
        <v>1200</v>
      </c>
      <c r="P109" s="593">
        <f t="shared" si="2"/>
        <v>63</v>
      </c>
      <c r="Q109" s="586">
        <v>31.5</v>
      </c>
      <c r="R109" s="584">
        <v>750</v>
      </c>
      <c r="S109" s="584">
        <v>1200</v>
      </c>
      <c r="T109" s="587"/>
      <c r="U109" s="587"/>
      <c r="V109" s="587"/>
    </row>
    <row r="110" spans="13:22" ht="12.75" customHeight="1" x14ac:dyDescent="0.2">
      <c r="M110" s="586">
        <v>32</v>
      </c>
      <c r="N110" s="584">
        <v>750</v>
      </c>
      <c r="O110" s="584">
        <v>1200</v>
      </c>
      <c r="P110" s="593">
        <f t="shared" si="2"/>
        <v>64</v>
      </c>
      <c r="Q110" s="586">
        <v>32</v>
      </c>
      <c r="R110" s="584">
        <v>750</v>
      </c>
      <c r="S110" s="584">
        <v>1200</v>
      </c>
      <c r="T110" s="587"/>
      <c r="U110" s="587"/>
      <c r="V110" s="587"/>
    </row>
    <row r="111" spans="13:22" ht="12.75" customHeight="1" x14ac:dyDescent="0.2">
      <c r="M111" s="586">
        <v>32.5</v>
      </c>
      <c r="N111" s="584">
        <v>750</v>
      </c>
      <c r="O111" s="584">
        <v>1200</v>
      </c>
      <c r="P111" s="593">
        <f t="shared" si="2"/>
        <v>65</v>
      </c>
      <c r="Q111" s="586">
        <v>32.5</v>
      </c>
      <c r="R111" s="584">
        <v>750</v>
      </c>
      <c r="S111" s="584">
        <v>1200</v>
      </c>
      <c r="T111" s="587"/>
      <c r="U111" s="587"/>
      <c r="V111" s="587"/>
    </row>
    <row r="112" spans="13:22" ht="12.75" customHeight="1" x14ac:dyDescent="0.2">
      <c r="M112" s="586">
        <v>33</v>
      </c>
      <c r="N112" s="584">
        <v>900</v>
      </c>
      <c r="O112" s="584">
        <v>1200</v>
      </c>
      <c r="P112" s="593">
        <f t="shared" si="2"/>
        <v>66</v>
      </c>
      <c r="Q112" s="586">
        <v>32.6</v>
      </c>
      <c r="R112" s="584">
        <v>900</v>
      </c>
      <c r="S112" s="584">
        <v>1200</v>
      </c>
      <c r="T112" s="587"/>
      <c r="U112" s="587"/>
      <c r="V112" s="587"/>
    </row>
    <row r="113" spans="13:22" ht="12.75" customHeight="1" x14ac:dyDescent="0.2">
      <c r="M113" s="586">
        <v>33.5</v>
      </c>
      <c r="N113" s="584">
        <v>900</v>
      </c>
      <c r="O113" s="584">
        <v>1200</v>
      </c>
      <c r="P113" s="593">
        <f t="shared" si="2"/>
        <v>67</v>
      </c>
      <c r="Q113" s="586">
        <v>33.5</v>
      </c>
      <c r="R113" s="584">
        <v>900</v>
      </c>
      <c r="S113" s="584">
        <v>1200</v>
      </c>
      <c r="T113" s="587"/>
      <c r="U113" s="587"/>
      <c r="V113" s="587"/>
    </row>
    <row r="114" spans="13:22" ht="12.75" customHeight="1" x14ac:dyDescent="0.2">
      <c r="M114" s="586">
        <v>34</v>
      </c>
      <c r="N114" s="584">
        <v>900</v>
      </c>
      <c r="O114" s="584">
        <v>1200</v>
      </c>
      <c r="P114" s="593">
        <f t="shared" si="2"/>
        <v>68</v>
      </c>
      <c r="Q114" s="586">
        <v>34</v>
      </c>
      <c r="R114" s="584">
        <v>900</v>
      </c>
      <c r="S114" s="584">
        <v>1200</v>
      </c>
      <c r="T114" s="587"/>
      <c r="U114" s="587"/>
      <c r="V114" s="587"/>
    </row>
    <row r="115" spans="13:22" ht="12.75" customHeight="1" x14ac:dyDescent="0.2">
      <c r="M115" s="586">
        <v>34.5</v>
      </c>
      <c r="N115" s="584">
        <v>900</v>
      </c>
      <c r="O115" s="584">
        <v>1200</v>
      </c>
      <c r="P115" s="593">
        <f t="shared" si="2"/>
        <v>69</v>
      </c>
      <c r="Q115" s="586">
        <v>34.5</v>
      </c>
      <c r="R115" s="584">
        <v>900</v>
      </c>
      <c r="S115" s="584">
        <v>1200</v>
      </c>
      <c r="T115" s="587"/>
      <c r="U115" s="587"/>
      <c r="V115" s="587"/>
    </row>
    <row r="116" spans="13:22" ht="12.75" customHeight="1" x14ac:dyDescent="0.2">
      <c r="M116" s="586">
        <v>35</v>
      </c>
      <c r="N116" s="584">
        <v>900</v>
      </c>
      <c r="O116" s="584">
        <v>1200</v>
      </c>
      <c r="P116" s="593">
        <f t="shared" si="2"/>
        <v>70</v>
      </c>
      <c r="Q116" s="586">
        <v>35</v>
      </c>
      <c r="R116" s="584">
        <v>900</v>
      </c>
      <c r="S116" s="584">
        <v>1200</v>
      </c>
      <c r="T116" s="587"/>
      <c r="U116" s="587"/>
      <c r="V116" s="587"/>
    </row>
    <row r="117" spans="13:22" ht="12.75" customHeight="1" x14ac:dyDescent="0.2">
      <c r="M117" s="586">
        <v>35.5</v>
      </c>
      <c r="N117" s="584">
        <v>750</v>
      </c>
      <c r="O117" s="584">
        <v>1500</v>
      </c>
      <c r="P117" s="593">
        <f t="shared" ref="P117:P146" si="3">M117*2</f>
        <v>71</v>
      </c>
      <c r="Q117" s="586">
        <v>35.6</v>
      </c>
      <c r="R117" s="584">
        <v>750</v>
      </c>
      <c r="S117" s="584">
        <v>1500</v>
      </c>
      <c r="T117" s="587"/>
      <c r="U117" s="587"/>
      <c r="V117" s="587"/>
    </row>
    <row r="118" spans="13:22" ht="12.75" customHeight="1" x14ac:dyDescent="0.2">
      <c r="M118" s="586">
        <v>36</v>
      </c>
      <c r="N118" s="584">
        <v>750</v>
      </c>
      <c r="O118" s="584">
        <v>1500</v>
      </c>
      <c r="P118" s="593">
        <f t="shared" si="3"/>
        <v>72</v>
      </c>
      <c r="Q118" s="586">
        <v>36</v>
      </c>
      <c r="R118" s="584">
        <v>750</v>
      </c>
      <c r="S118" s="584">
        <v>1500</v>
      </c>
      <c r="T118" s="587"/>
      <c r="U118" s="587"/>
      <c r="V118" s="587"/>
    </row>
    <row r="119" spans="13:22" ht="12.75" customHeight="1" x14ac:dyDescent="0.2">
      <c r="M119" s="586">
        <v>36.5</v>
      </c>
      <c r="N119" s="584">
        <v>750</v>
      </c>
      <c r="O119" s="584">
        <v>1500</v>
      </c>
      <c r="P119" s="593">
        <f t="shared" si="3"/>
        <v>73</v>
      </c>
      <c r="Q119" s="586">
        <v>36.5</v>
      </c>
      <c r="R119" s="584">
        <v>750</v>
      </c>
      <c r="S119" s="584">
        <v>1500</v>
      </c>
      <c r="T119" s="587"/>
      <c r="U119" s="587"/>
      <c r="V119" s="587"/>
    </row>
    <row r="120" spans="13:22" ht="12.75" customHeight="1" x14ac:dyDescent="0.2">
      <c r="M120" s="586">
        <v>37</v>
      </c>
      <c r="N120" s="584">
        <v>750</v>
      </c>
      <c r="O120" s="584">
        <v>1500</v>
      </c>
      <c r="P120" s="593">
        <f t="shared" si="3"/>
        <v>74</v>
      </c>
      <c r="Q120" s="586">
        <v>37</v>
      </c>
      <c r="R120" s="584">
        <v>750</v>
      </c>
      <c r="S120" s="584">
        <v>1500</v>
      </c>
      <c r="T120" s="587"/>
      <c r="U120" s="587"/>
      <c r="V120" s="587"/>
    </row>
    <row r="121" spans="13:22" ht="12.75" customHeight="1" x14ac:dyDescent="0.2">
      <c r="M121" s="586">
        <v>37.5</v>
      </c>
      <c r="N121" s="584">
        <v>750</v>
      </c>
      <c r="O121" s="584">
        <v>1500</v>
      </c>
      <c r="P121" s="593">
        <f t="shared" si="3"/>
        <v>75</v>
      </c>
      <c r="Q121" s="586">
        <v>37.5</v>
      </c>
      <c r="R121" s="584">
        <v>750</v>
      </c>
      <c r="S121" s="584">
        <v>1500</v>
      </c>
      <c r="T121" s="587"/>
      <c r="U121" s="587"/>
      <c r="V121" s="587"/>
    </row>
    <row r="122" spans="13:22" ht="12.75" customHeight="1" x14ac:dyDescent="0.2">
      <c r="M122" s="586">
        <v>38</v>
      </c>
      <c r="N122" s="584">
        <v>1200</v>
      </c>
      <c r="O122" s="584">
        <v>1200</v>
      </c>
      <c r="P122" s="593">
        <f t="shared" si="3"/>
        <v>76</v>
      </c>
      <c r="Q122" s="586">
        <v>37.6</v>
      </c>
      <c r="R122" s="584">
        <v>1200</v>
      </c>
      <c r="S122" s="584">
        <v>1200</v>
      </c>
      <c r="T122" s="587"/>
      <c r="U122" s="587"/>
      <c r="V122" s="587"/>
    </row>
    <row r="123" spans="13:22" ht="12.75" customHeight="1" x14ac:dyDescent="0.2">
      <c r="M123" s="586">
        <v>38.5</v>
      </c>
      <c r="N123" s="584">
        <v>1200</v>
      </c>
      <c r="O123" s="584">
        <v>1200</v>
      </c>
      <c r="P123" s="593">
        <f t="shared" si="3"/>
        <v>77</v>
      </c>
      <c r="Q123" s="586">
        <v>38.5</v>
      </c>
      <c r="R123" s="584">
        <v>1200</v>
      </c>
      <c r="S123" s="584">
        <v>1200</v>
      </c>
      <c r="T123" s="587"/>
      <c r="U123" s="587"/>
      <c r="V123" s="587"/>
    </row>
    <row r="124" spans="13:22" ht="12.75" customHeight="1" x14ac:dyDescent="0.2">
      <c r="M124" s="586">
        <v>39</v>
      </c>
      <c r="N124" s="584">
        <v>1200</v>
      </c>
      <c r="O124" s="584">
        <v>1200</v>
      </c>
      <c r="P124" s="593">
        <f t="shared" si="3"/>
        <v>78</v>
      </c>
      <c r="Q124" s="586">
        <v>39</v>
      </c>
      <c r="R124" s="584">
        <v>1200</v>
      </c>
      <c r="S124" s="584">
        <v>1200</v>
      </c>
      <c r="T124" s="587"/>
      <c r="U124" s="587"/>
      <c r="V124" s="587"/>
    </row>
    <row r="125" spans="13:22" ht="12.75" customHeight="1" x14ac:dyDescent="0.2">
      <c r="M125" s="586">
        <v>39.5</v>
      </c>
      <c r="N125" s="584">
        <v>1200</v>
      </c>
      <c r="O125" s="584">
        <v>1200</v>
      </c>
      <c r="P125" s="593">
        <f t="shared" si="3"/>
        <v>79</v>
      </c>
      <c r="Q125" s="586">
        <v>39.5</v>
      </c>
      <c r="R125" s="584">
        <v>1200</v>
      </c>
      <c r="S125" s="584">
        <v>1200</v>
      </c>
      <c r="T125" s="587"/>
      <c r="U125" s="587"/>
      <c r="V125" s="587"/>
    </row>
    <row r="126" spans="13:22" ht="12.75" customHeight="1" x14ac:dyDescent="0.2">
      <c r="M126" s="586">
        <v>40</v>
      </c>
      <c r="N126" s="584">
        <v>1200</v>
      </c>
      <c r="O126" s="584">
        <v>1200</v>
      </c>
      <c r="P126" s="593">
        <f t="shared" si="3"/>
        <v>80</v>
      </c>
      <c r="Q126" s="586">
        <v>40</v>
      </c>
      <c r="R126" s="584">
        <v>1200</v>
      </c>
      <c r="S126" s="584">
        <v>1200</v>
      </c>
      <c r="T126" s="587"/>
      <c r="U126" s="587"/>
      <c r="V126" s="587"/>
    </row>
    <row r="127" spans="13:22" ht="12.75" customHeight="1" x14ac:dyDescent="0.2">
      <c r="M127" s="586">
        <v>40.5</v>
      </c>
      <c r="N127" s="584">
        <v>1200</v>
      </c>
      <c r="O127" s="584">
        <v>1500</v>
      </c>
      <c r="P127" s="593">
        <f t="shared" si="3"/>
        <v>81</v>
      </c>
      <c r="Q127" s="586">
        <v>40.1</v>
      </c>
      <c r="R127" s="584">
        <v>1200</v>
      </c>
      <c r="S127" s="584">
        <v>1500</v>
      </c>
      <c r="T127" s="587"/>
      <c r="U127" s="587"/>
      <c r="V127" s="587"/>
    </row>
    <row r="128" spans="13:22" ht="12.75" customHeight="1" x14ac:dyDescent="0.2">
      <c r="M128" s="586">
        <v>41</v>
      </c>
      <c r="N128" s="584">
        <v>1200</v>
      </c>
      <c r="O128" s="584">
        <v>1500</v>
      </c>
      <c r="P128" s="593">
        <f t="shared" si="3"/>
        <v>82</v>
      </c>
      <c r="Q128" s="586">
        <v>41</v>
      </c>
      <c r="R128" s="584">
        <v>1200</v>
      </c>
      <c r="S128" s="584">
        <v>1500</v>
      </c>
      <c r="T128" s="587"/>
      <c r="U128" s="587"/>
      <c r="V128" s="587"/>
    </row>
    <row r="129" spans="13:22" ht="12.75" customHeight="1" x14ac:dyDescent="0.2">
      <c r="M129" s="586">
        <v>41.5</v>
      </c>
      <c r="N129" s="584">
        <v>1200</v>
      </c>
      <c r="O129" s="584">
        <v>1500</v>
      </c>
      <c r="P129" s="593">
        <f t="shared" si="3"/>
        <v>83</v>
      </c>
      <c r="Q129" s="586">
        <v>41.5</v>
      </c>
      <c r="R129" s="584">
        <v>1200</v>
      </c>
      <c r="S129" s="584">
        <v>1500</v>
      </c>
      <c r="T129" s="587"/>
      <c r="U129" s="587"/>
      <c r="V129" s="587"/>
    </row>
    <row r="130" spans="13:22" ht="12.75" customHeight="1" x14ac:dyDescent="0.2">
      <c r="M130" s="586">
        <v>42</v>
      </c>
      <c r="N130" s="584">
        <v>1200</v>
      </c>
      <c r="O130" s="584">
        <v>1500</v>
      </c>
      <c r="P130" s="593">
        <f t="shared" si="3"/>
        <v>84</v>
      </c>
      <c r="Q130" s="586">
        <v>42</v>
      </c>
      <c r="R130" s="584">
        <v>1200</v>
      </c>
      <c r="S130" s="584">
        <v>1500</v>
      </c>
      <c r="T130" s="587"/>
      <c r="U130" s="587"/>
      <c r="V130" s="587"/>
    </row>
    <row r="131" spans="13:22" ht="12.75" customHeight="1" x14ac:dyDescent="0.2">
      <c r="M131" s="586">
        <v>42.5</v>
      </c>
      <c r="N131" s="584">
        <v>1200</v>
      </c>
      <c r="O131" s="584">
        <v>1500</v>
      </c>
      <c r="P131" s="593">
        <f t="shared" si="3"/>
        <v>85</v>
      </c>
      <c r="Q131" s="586">
        <v>42.5</v>
      </c>
      <c r="R131" s="584">
        <v>1200</v>
      </c>
      <c r="S131" s="584">
        <v>1500</v>
      </c>
      <c r="T131" s="587"/>
      <c r="U131" s="587"/>
      <c r="V131" s="587"/>
    </row>
    <row r="132" spans="13:22" ht="12.75" customHeight="1" x14ac:dyDescent="0.2">
      <c r="M132" s="586">
        <v>43</v>
      </c>
      <c r="N132" s="584">
        <v>1200</v>
      </c>
      <c r="O132" s="584">
        <v>1500</v>
      </c>
      <c r="P132" s="593">
        <f t="shared" si="3"/>
        <v>86</v>
      </c>
      <c r="Q132" s="586">
        <v>43</v>
      </c>
      <c r="R132" s="584">
        <v>1200</v>
      </c>
      <c r="S132" s="584">
        <v>1500</v>
      </c>
      <c r="T132" s="587"/>
      <c r="U132" s="587"/>
      <c r="V132" s="587"/>
    </row>
    <row r="133" spans="13:22" ht="12.75" customHeight="1" x14ac:dyDescent="0.2">
      <c r="M133" s="586">
        <v>43.5</v>
      </c>
      <c r="N133" s="584">
        <v>1200</v>
      </c>
      <c r="O133" s="584">
        <v>1500</v>
      </c>
      <c r="P133" s="593">
        <f t="shared" si="3"/>
        <v>87</v>
      </c>
      <c r="Q133" s="586">
        <v>43.5</v>
      </c>
      <c r="R133" s="584">
        <v>1200</v>
      </c>
      <c r="S133" s="584">
        <v>1500</v>
      </c>
      <c r="T133" s="587"/>
      <c r="U133" s="587"/>
      <c r="V133" s="587"/>
    </row>
    <row r="134" spans="13:22" ht="12.75" customHeight="1" x14ac:dyDescent="0.2">
      <c r="M134" s="586">
        <v>44</v>
      </c>
      <c r="N134" s="584">
        <v>1200</v>
      </c>
      <c r="O134" s="584">
        <v>1500</v>
      </c>
      <c r="P134" s="593">
        <f t="shared" si="3"/>
        <v>88</v>
      </c>
      <c r="Q134" s="586">
        <v>44</v>
      </c>
      <c r="R134" s="584">
        <v>1200</v>
      </c>
      <c r="S134" s="584">
        <v>1500</v>
      </c>
      <c r="T134" s="587"/>
      <c r="U134" s="587"/>
      <c r="V134" s="587"/>
    </row>
    <row r="135" spans="13:22" ht="12.75" customHeight="1" x14ac:dyDescent="0.2">
      <c r="M135" s="586">
        <v>44.5</v>
      </c>
      <c r="N135" s="584">
        <v>1200</v>
      </c>
      <c r="O135" s="584">
        <v>1500</v>
      </c>
      <c r="P135" s="593">
        <f t="shared" si="3"/>
        <v>89</v>
      </c>
      <c r="Q135" s="586">
        <v>44.5</v>
      </c>
      <c r="R135" s="584">
        <v>1200</v>
      </c>
      <c r="S135" s="584">
        <v>1500</v>
      </c>
      <c r="T135" s="587"/>
      <c r="U135" s="587"/>
      <c r="V135" s="587"/>
    </row>
    <row r="136" spans="13:22" ht="12.75" customHeight="1" x14ac:dyDescent="0.2">
      <c r="M136" s="586">
        <v>45</v>
      </c>
      <c r="N136" s="584">
        <v>1200</v>
      </c>
      <c r="O136" s="584">
        <v>1500</v>
      </c>
      <c r="P136" s="593">
        <f t="shared" si="3"/>
        <v>90</v>
      </c>
      <c r="Q136" s="586">
        <v>45</v>
      </c>
      <c r="R136" s="584">
        <v>1200</v>
      </c>
      <c r="S136" s="584">
        <v>1500</v>
      </c>
      <c r="T136" s="587"/>
      <c r="U136" s="587"/>
      <c r="V136" s="587"/>
    </row>
    <row r="137" spans="13:22" ht="12.75" customHeight="1" x14ac:dyDescent="0.2">
      <c r="M137" s="586">
        <v>45.5</v>
      </c>
      <c r="N137" s="584">
        <v>1500</v>
      </c>
      <c r="O137" s="584">
        <v>1500</v>
      </c>
      <c r="P137" s="593">
        <f t="shared" si="3"/>
        <v>91</v>
      </c>
      <c r="Q137" s="586">
        <v>45.1</v>
      </c>
      <c r="R137" s="584">
        <v>1500</v>
      </c>
      <c r="S137" s="584">
        <v>1500</v>
      </c>
      <c r="T137" s="587"/>
      <c r="U137" s="587"/>
      <c r="V137" s="587"/>
    </row>
    <row r="138" spans="13:22" ht="12.75" customHeight="1" x14ac:dyDescent="0.2">
      <c r="M138" s="586">
        <v>46</v>
      </c>
      <c r="N138" s="584">
        <v>1500</v>
      </c>
      <c r="O138" s="584">
        <v>1500</v>
      </c>
      <c r="P138" s="593">
        <f t="shared" si="3"/>
        <v>92</v>
      </c>
      <c r="Q138" s="586">
        <v>46</v>
      </c>
      <c r="R138" s="584">
        <v>1500</v>
      </c>
      <c r="S138" s="584">
        <v>1500</v>
      </c>
      <c r="T138" s="587"/>
      <c r="U138" s="587"/>
      <c r="V138" s="587"/>
    </row>
    <row r="139" spans="13:22" ht="12.75" customHeight="1" x14ac:dyDescent="0.2">
      <c r="M139" s="586">
        <v>46.5</v>
      </c>
      <c r="N139" s="584">
        <v>1500</v>
      </c>
      <c r="O139" s="584">
        <v>1500</v>
      </c>
      <c r="P139" s="593">
        <f t="shared" si="3"/>
        <v>93</v>
      </c>
      <c r="Q139" s="586">
        <v>46.5</v>
      </c>
      <c r="R139" s="584">
        <v>1500</v>
      </c>
      <c r="S139" s="584">
        <v>1500</v>
      </c>
      <c r="T139" s="587"/>
      <c r="U139" s="587"/>
      <c r="V139" s="587"/>
    </row>
    <row r="140" spans="13:22" ht="12.75" customHeight="1" x14ac:dyDescent="0.2">
      <c r="M140" s="586">
        <v>47</v>
      </c>
      <c r="N140" s="584">
        <v>1500</v>
      </c>
      <c r="O140" s="584">
        <v>1500</v>
      </c>
      <c r="P140" s="593">
        <f t="shared" si="3"/>
        <v>94</v>
      </c>
      <c r="Q140" s="586">
        <v>47</v>
      </c>
      <c r="R140" s="584">
        <v>1500</v>
      </c>
      <c r="S140" s="584">
        <v>1500</v>
      </c>
      <c r="T140" s="587"/>
      <c r="U140" s="587"/>
      <c r="V140" s="587"/>
    </row>
    <row r="141" spans="13:22" ht="12.75" customHeight="1" x14ac:dyDescent="0.2">
      <c r="M141" s="586">
        <v>47.5</v>
      </c>
      <c r="N141" s="584">
        <v>1500</v>
      </c>
      <c r="O141" s="584">
        <v>1500</v>
      </c>
      <c r="P141" s="593">
        <f t="shared" si="3"/>
        <v>95</v>
      </c>
      <c r="Q141" s="586">
        <v>47.5</v>
      </c>
      <c r="R141" s="584">
        <v>1500</v>
      </c>
      <c r="S141" s="584">
        <v>1500</v>
      </c>
      <c r="T141" s="587"/>
      <c r="U141" s="587"/>
      <c r="V141" s="587"/>
    </row>
    <row r="142" spans="13:22" ht="12.75" customHeight="1" x14ac:dyDescent="0.2">
      <c r="M142" s="586">
        <v>48</v>
      </c>
      <c r="N142" s="584">
        <v>1500</v>
      </c>
      <c r="O142" s="584">
        <v>1500</v>
      </c>
      <c r="P142" s="593">
        <f t="shared" si="3"/>
        <v>96</v>
      </c>
      <c r="Q142" s="586">
        <v>48</v>
      </c>
      <c r="R142" s="584">
        <v>1500</v>
      </c>
      <c r="S142" s="584">
        <v>1500</v>
      </c>
      <c r="T142" s="587"/>
      <c r="U142" s="587"/>
      <c r="V142" s="587"/>
    </row>
    <row r="143" spans="13:22" ht="12.75" customHeight="1" x14ac:dyDescent="0.2">
      <c r="M143" s="586">
        <v>48.5</v>
      </c>
      <c r="N143" s="584">
        <v>1500</v>
      </c>
      <c r="O143" s="584">
        <v>1500</v>
      </c>
      <c r="P143" s="593">
        <f t="shared" si="3"/>
        <v>97</v>
      </c>
      <c r="Q143" s="586">
        <v>48.5</v>
      </c>
      <c r="R143" s="584">
        <v>1500</v>
      </c>
      <c r="S143" s="584">
        <v>1500</v>
      </c>
      <c r="T143" s="587"/>
      <c r="U143" s="587"/>
      <c r="V143" s="587"/>
    </row>
    <row r="144" spans="13:22" ht="12.75" customHeight="1" x14ac:dyDescent="0.2">
      <c r="M144" s="586">
        <v>49</v>
      </c>
      <c r="N144" s="584">
        <v>1500</v>
      </c>
      <c r="O144" s="584">
        <v>1500</v>
      </c>
      <c r="P144" s="593">
        <f t="shared" si="3"/>
        <v>98</v>
      </c>
      <c r="Q144" s="586">
        <v>49</v>
      </c>
      <c r="R144" s="584">
        <v>1500</v>
      </c>
      <c r="S144" s="584">
        <v>1500</v>
      </c>
      <c r="T144" s="587"/>
      <c r="U144" s="587"/>
      <c r="V144" s="587"/>
    </row>
    <row r="145" spans="13:22" ht="12.75" customHeight="1" x14ac:dyDescent="0.2">
      <c r="M145" s="586">
        <v>49.5</v>
      </c>
      <c r="N145" s="584">
        <v>1500</v>
      </c>
      <c r="O145" s="584">
        <v>1500</v>
      </c>
      <c r="P145" s="593">
        <f t="shared" si="3"/>
        <v>99</v>
      </c>
      <c r="Q145" s="586">
        <v>49.5</v>
      </c>
      <c r="R145" s="584">
        <v>1500</v>
      </c>
      <c r="S145" s="584">
        <v>1500</v>
      </c>
      <c r="T145" s="587"/>
      <c r="U145" s="587"/>
      <c r="V145" s="587"/>
    </row>
    <row r="146" spans="13:22" ht="12.75" customHeight="1" x14ac:dyDescent="0.2">
      <c r="M146" s="586">
        <v>50</v>
      </c>
      <c r="N146" s="584">
        <v>1500</v>
      </c>
      <c r="O146" s="584">
        <v>1500</v>
      </c>
      <c r="P146" s="593">
        <f t="shared" si="3"/>
        <v>100</v>
      </c>
      <c r="Q146" s="586">
        <v>50</v>
      </c>
      <c r="R146" s="584">
        <v>1500</v>
      </c>
      <c r="S146" s="584">
        <v>1500</v>
      </c>
      <c r="T146" s="587"/>
      <c r="U146" s="587"/>
      <c r="V146" s="587"/>
    </row>
    <row r="147" spans="13:22" x14ac:dyDescent="0.2">
      <c r="M147" s="587"/>
      <c r="N147" s="587"/>
      <c r="O147" s="587"/>
      <c r="P147" s="587"/>
      <c r="Q147" s="587"/>
      <c r="R147" s="587"/>
      <c r="S147" s="587"/>
      <c r="T147" s="587"/>
      <c r="U147" s="587"/>
      <c r="V147" s="587"/>
    </row>
    <row r="148" spans="13:22" x14ac:dyDescent="0.2">
      <c r="M148" s="587"/>
      <c r="N148" s="587"/>
      <c r="O148" s="587"/>
      <c r="P148" s="587"/>
      <c r="Q148" s="587"/>
      <c r="R148" s="587"/>
      <c r="S148" s="587"/>
      <c r="T148" s="587"/>
      <c r="U148" s="587"/>
      <c r="V148" s="587"/>
    </row>
    <row r="149" spans="13:22" x14ac:dyDescent="0.2">
      <c r="M149" s="587"/>
      <c r="N149" s="587"/>
      <c r="O149" s="587"/>
      <c r="P149" s="587"/>
      <c r="Q149" s="587"/>
      <c r="R149" s="587"/>
      <c r="S149" s="587"/>
      <c r="T149" s="587"/>
      <c r="U149" s="587"/>
      <c r="V149" s="587"/>
    </row>
  </sheetData>
  <autoFilter ref="H19:H33" xr:uid="{00000000-0009-0000-0000-000000000000}"/>
  <mergeCells count="45">
    <mergeCell ref="A91:G91"/>
    <mergeCell ref="A67:G67"/>
    <mergeCell ref="A68:G68"/>
    <mergeCell ref="A69:G69"/>
    <mergeCell ref="A70:G70"/>
    <mergeCell ref="A77:G77"/>
    <mergeCell ref="A74:G74"/>
    <mergeCell ref="A75:G75"/>
    <mergeCell ref="A76:G76"/>
    <mergeCell ref="A72:G72"/>
    <mergeCell ref="A73:G73"/>
    <mergeCell ref="A78:G78"/>
    <mergeCell ref="A71:G71"/>
    <mergeCell ref="A65:G65"/>
    <mergeCell ref="A31:F31"/>
    <mergeCell ref="B32:F32"/>
    <mergeCell ref="A37:C37"/>
    <mergeCell ref="A40:G40"/>
    <mergeCell ref="A50:G50"/>
    <mergeCell ref="A42:G42"/>
    <mergeCell ref="B54:C54"/>
    <mergeCell ref="B55:C55"/>
    <mergeCell ref="A41:G41"/>
    <mergeCell ref="B45:C45"/>
    <mergeCell ref="B46:C46"/>
    <mergeCell ref="C1:G1"/>
    <mergeCell ref="A11:F11"/>
    <mergeCell ref="A10:F10"/>
    <mergeCell ref="B18:B19"/>
    <mergeCell ref="C18:C19"/>
    <mergeCell ref="D18:D19"/>
    <mergeCell ref="E18:E19"/>
    <mergeCell ref="A5:C5"/>
    <mergeCell ref="A6:C6"/>
    <mergeCell ref="A17:G17"/>
    <mergeCell ref="A2:C2"/>
    <mergeCell ref="A4:C4"/>
    <mergeCell ref="A8:C8"/>
    <mergeCell ref="A7:C7"/>
    <mergeCell ref="Q50:S50"/>
    <mergeCell ref="E15:F15"/>
    <mergeCell ref="E16:F16"/>
    <mergeCell ref="M50:O50"/>
    <mergeCell ref="A35:G35"/>
    <mergeCell ref="A36:G36"/>
  </mergeCells>
  <phoneticPr fontId="18" type="noConversion"/>
  <conditionalFormatting sqref="A2:C2">
    <cfRule type="containsText" priority="2" operator="containsText" text="1,50">
      <formula>NOT(ISERROR(SEARCH("1,50",A2)))</formula>
    </cfRule>
  </conditionalFormatting>
  <conditionalFormatting sqref="G11">
    <cfRule type="cellIs" dxfId="67" priority="1" operator="between">
      <formula>1</formula>
      <formula>50</formula>
    </cfRule>
  </conditionalFormatting>
  <conditionalFormatting sqref="G15:G16">
    <cfRule type="notContainsBlanks" dxfId="66" priority="3">
      <formula>LEN(TRIM(G15))&gt;0</formula>
    </cfRule>
  </conditionalFormatting>
  <hyperlinks>
    <hyperlink ref="B48" r:id="rId1" xr:uid="{680B8F16-44BF-46A4-ABBC-8305690F959A}"/>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5A08C-7EE3-4332-A2DD-F6351FFC27C9}">
  <sheetPr>
    <tabColor rgb="FF92D050"/>
  </sheetPr>
  <dimension ref="A1:U75"/>
  <sheetViews>
    <sheetView topLeftCell="A21" zoomScaleNormal="100" zoomScaleSheetLayoutView="100" zoomScalePageLayoutView="70" workbookViewId="0">
      <selection activeCell="H23" sqref="H23"/>
    </sheetView>
  </sheetViews>
  <sheetFormatPr defaultColWidth="0" defaultRowHeight="14.4" zeroHeight="1" x14ac:dyDescent="0.3"/>
  <cols>
    <col min="1" max="1" width="19.77734375" customWidth="1"/>
    <col min="2" max="4" width="9" customWidth="1"/>
    <col min="5" max="5" width="8.77734375" customWidth="1"/>
    <col min="6" max="6" width="9" bestFit="1" customWidth="1"/>
    <col min="7" max="7" width="8.77734375" bestFit="1" customWidth="1"/>
    <col min="8" max="8" width="9.77734375" customWidth="1"/>
    <col min="9" max="9" width="5.77734375" bestFit="1" customWidth="1"/>
    <col min="10" max="11" width="11" customWidth="1"/>
    <col min="12" max="20" width="9.109375" style="5" hidden="1" customWidth="1"/>
    <col min="21" max="21" width="0" style="5" hidden="1" customWidth="1"/>
    <col min="22" max="16384" width="9.109375" style="5" hidden="1"/>
  </cols>
  <sheetData>
    <row r="1" spans="1:11" ht="23.4" x14ac:dyDescent="0.45">
      <c r="A1" s="301"/>
      <c r="B1" s="301"/>
      <c r="C1" s="301"/>
      <c r="D1" s="301"/>
      <c r="E1" s="301"/>
      <c r="F1" s="301"/>
      <c r="G1" s="301"/>
      <c r="H1" s="301"/>
      <c r="I1" s="301"/>
      <c r="J1" s="301"/>
      <c r="K1" s="302" t="s">
        <v>265</v>
      </c>
    </row>
    <row r="2" spans="1:11" x14ac:dyDescent="0.3">
      <c r="A2" s="301"/>
      <c r="B2" s="301"/>
      <c r="C2" s="301"/>
      <c r="D2" s="301"/>
      <c r="E2" s="301"/>
      <c r="F2" s="301"/>
      <c r="G2" s="301"/>
      <c r="H2" s="301"/>
      <c r="I2" s="301"/>
      <c r="J2" s="301"/>
      <c r="K2" s="303" t="s">
        <v>269</v>
      </c>
    </row>
    <row r="3" spans="1:11" x14ac:dyDescent="0.3">
      <c r="A3" s="301"/>
      <c r="B3" s="301"/>
      <c r="C3" s="301"/>
      <c r="D3" s="301"/>
      <c r="E3" s="301"/>
      <c r="F3" s="301"/>
      <c r="G3" s="301"/>
      <c r="H3" s="301"/>
      <c r="I3" s="301"/>
      <c r="J3" s="301"/>
      <c r="K3" s="303" t="s">
        <v>266</v>
      </c>
    </row>
    <row r="4" spans="1:11" x14ac:dyDescent="0.3">
      <c r="A4" s="301"/>
      <c r="B4" s="301"/>
      <c r="C4" s="301"/>
      <c r="D4" s="301"/>
      <c r="E4" s="301"/>
      <c r="F4" s="301"/>
      <c r="G4" s="301"/>
      <c r="H4" s="301"/>
      <c r="I4" s="301"/>
      <c r="J4" s="301"/>
      <c r="K4" s="303" t="s">
        <v>267</v>
      </c>
    </row>
    <row r="5" spans="1:11" x14ac:dyDescent="0.3">
      <c r="A5" s="301"/>
      <c r="B5" s="301"/>
      <c r="C5" s="301"/>
      <c r="D5" s="301"/>
      <c r="E5" s="301"/>
      <c r="F5" s="301"/>
      <c r="G5" s="301"/>
      <c r="H5" s="301"/>
      <c r="I5" s="301"/>
      <c r="J5" s="301"/>
      <c r="K5" s="303" t="s">
        <v>268</v>
      </c>
    </row>
    <row r="6" spans="1:11" x14ac:dyDescent="0.3">
      <c r="A6" s="301"/>
      <c r="B6" s="301"/>
      <c r="C6" s="301"/>
      <c r="D6" s="301"/>
      <c r="E6" s="301"/>
      <c r="F6" s="301"/>
      <c r="G6" s="301"/>
      <c r="H6" s="301"/>
      <c r="I6" s="301"/>
      <c r="J6" s="301"/>
      <c r="K6" s="301"/>
    </row>
    <row r="7" spans="1:11" x14ac:dyDescent="0.3">
      <c r="A7" s="930" t="s">
        <v>194</v>
      </c>
      <c r="B7" s="931"/>
      <c r="C7" s="931"/>
      <c r="D7" s="304"/>
      <c r="E7" s="304"/>
      <c r="F7" s="304"/>
      <c r="G7" s="304"/>
      <c r="H7" s="301"/>
      <c r="I7" s="301"/>
      <c r="J7" s="301"/>
      <c r="K7" s="301"/>
    </row>
    <row r="8" spans="1:11" x14ac:dyDescent="0.3">
      <c r="A8" s="305"/>
      <c r="B8" s="301"/>
      <c r="C8" s="301"/>
      <c r="D8" s="304"/>
      <c r="E8" s="304"/>
      <c r="F8" s="304"/>
      <c r="G8" s="304"/>
      <c r="H8" s="301"/>
      <c r="I8" s="301"/>
      <c r="J8" s="301"/>
      <c r="K8" s="301"/>
    </row>
    <row r="9" spans="1:11" x14ac:dyDescent="0.3">
      <c r="A9" s="305" t="s">
        <v>77</v>
      </c>
      <c r="B9" s="932"/>
      <c r="C9" s="932"/>
      <c r="D9" s="932"/>
      <c r="E9" s="932"/>
      <c r="F9" s="932"/>
      <c r="G9" s="932"/>
      <c r="H9" s="932"/>
      <c r="I9" s="301"/>
      <c r="J9" s="301"/>
      <c r="K9" s="301"/>
    </row>
    <row r="10" spans="1:11" x14ac:dyDescent="0.3">
      <c r="A10" s="305" t="s">
        <v>78</v>
      </c>
      <c r="B10" s="912"/>
      <c r="C10" s="912"/>
      <c r="D10" s="912"/>
      <c r="E10" s="912"/>
      <c r="F10" s="912"/>
      <c r="G10" s="912"/>
      <c r="H10" s="912"/>
      <c r="I10" s="301"/>
      <c r="J10" s="301"/>
      <c r="K10" s="301"/>
    </row>
    <row r="11" spans="1:11" x14ac:dyDescent="0.3">
      <c r="A11" s="305" t="s">
        <v>16</v>
      </c>
      <c r="B11" s="912"/>
      <c r="C11" s="912"/>
      <c r="D11" s="912"/>
      <c r="E11" s="912"/>
      <c r="F11" s="912"/>
      <c r="G11" s="912"/>
      <c r="H11" s="912"/>
      <c r="I11" s="301"/>
      <c r="J11" s="301"/>
      <c r="K11" s="301"/>
    </row>
    <row r="12" spans="1:11" x14ac:dyDescent="0.3">
      <c r="A12" s="305" t="s">
        <v>13</v>
      </c>
      <c r="B12" s="912"/>
      <c r="C12" s="912"/>
      <c r="D12" s="912"/>
      <c r="E12" s="912"/>
      <c r="F12" s="912"/>
      <c r="G12" s="912"/>
      <c r="H12" s="912"/>
      <c r="I12" s="301"/>
      <c r="J12" s="301"/>
      <c r="K12" s="301"/>
    </row>
    <row r="13" spans="1:11" x14ac:dyDescent="0.3">
      <c r="A13" s="305" t="s">
        <v>17</v>
      </c>
      <c r="B13" s="912"/>
      <c r="C13" s="912"/>
      <c r="D13" s="912"/>
      <c r="E13" s="912"/>
      <c r="F13" s="912"/>
      <c r="G13" s="912"/>
      <c r="H13" s="912"/>
      <c r="I13" s="301"/>
      <c r="J13" s="301"/>
      <c r="K13" s="301"/>
    </row>
    <row r="14" spans="1:11" x14ac:dyDescent="0.3">
      <c r="A14" s="305"/>
      <c r="B14" s="301"/>
      <c r="C14" s="301"/>
      <c r="D14" s="301"/>
      <c r="E14" s="301"/>
      <c r="F14" s="301"/>
      <c r="G14" s="301"/>
      <c r="H14" s="301"/>
      <c r="I14" s="301"/>
      <c r="J14" s="301"/>
      <c r="K14" s="301"/>
    </row>
    <row r="15" spans="1:11" x14ac:dyDescent="0.3">
      <c r="A15" s="306" t="s">
        <v>0</v>
      </c>
      <c r="B15" s="306"/>
      <c r="C15" s="306"/>
      <c r="D15" s="306"/>
      <c r="E15" s="306"/>
      <c r="F15" s="306"/>
      <c r="G15" s="307"/>
      <c r="H15" s="301"/>
      <c r="I15" s="301"/>
      <c r="J15" s="301"/>
      <c r="K15" s="301"/>
    </row>
    <row r="16" spans="1:11" ht="31.5" customHeight="1" x14ac:dyDescent="0.2">
      <c r="A16" s="911" t="s">
        <v>272</v>
      </c>
      <c r="B16" s="911"/>
      <c r="C16" s="911"/>
      <c r="D16" s="911"/>
      <c r="E16" s="911"/>
      <c r="F16" s="911"/>
      <c r="G16" s="911"/>
      <c r="H16" s="911"/>
      <c r="I16" s="911"/>
      <c r="J16" s="911"/>
      <c r="K16" s="911"/>
    </row>
    <row r="17" spans="1:11" x14ac:dyDescent="0.3">
      <c r="A17" s="301"/>
      <c r="B17" s="301"/>
      <c r="C17" s="301"/>
      <c r="D17" s="301"/>
      <c r="E17" s="301"/>
      <c r="F17" s="301"/>
      <c r="G17" s="301"/>
      <c r="H17" s="301"/>
      <c r="I17" s="301"/>
      <c r="J17" s="301"/>
      <c r="K17" s="301"/>
    </row>
    <row r="18" spans="1:11" ht="20.399999999999999" thickBot="1" x14ac:dyDescent="0.35">
      <c r="A18" s="923" t="s">
        <v>262</v>
      </c>
      <c r="B18" s="923"/>
      <c r="C18" s="923"/>
      <c r="D18" s="301"/>
      <c r="E18" s="301"/>
      <c r="F18" s="301"/>
      <c r="G18" s="301"/>
      <c r="H18" s="301"/>
      <c r="I18" s="301"/>
      <c r="J18" s="301"/>
      <c r="K18" s="301"/>
    </row>
    <row r="19" spans="1:11" ht="25.2" x14ac:dyDescent="0.3">
      <c r="A19" s="289" t="s">
        <v>155</v>
      </c>
      <c r="B19" s="918" t="s">
        <v>234</v>
      </c>
      <c r="C19" s="919"/>
      <c r="D19" s="301"/>
      <c r="E19" s="308" t="s">
        <v>261</v>
      </c>
      <c r="F19" s="309" t="s">
        <v>222</v>
      </c>
      <c r="G19" s="310" t="s">
        <v>176</v>
      </c>
      <c r="H19" s="311" t="s">
        <v>191</v>
      </c>
      <c r="I19" s="301"/>
      <c r="J19" s="312" t="s">
        <v>258</v>
      </c>
      <c r="K19" s="313" t="s">
        <v>260</v>
      </c>
    </row>
    <row r="20" spans="1:11" ht="20.399999999999999" thickBot="1" x14ac:dyDescent="0.35">
      <c r="A20" s="290"/>
      <c r="B20" s="924" t="s">
        <v>179</v>
      </c>
      <c r="C20" s="925"/>
      <c r="D20" s="301"/>
      <c r="E20" s="291">
        <v>30</v>
      </c>
      <c r="F20" s="292">
        <v>-25</v>
      </c>
      <c r="G20" s="293">
        <v>17</v>
      </c>
      <c r="H20" s="294">
        <v>34</v>
      </c>
      <c r="I20" s="301"/>
      <c r="J20" s="314">
        <f>HLOOKUP($H$20,'calcule pt oferta'!L26:AA37,MATCH($E$20,'calcule pt oferta'!$J$26:$J$37,0)+MATCH($F$20,'calcule pt oferta'!$K$29:$K$31,0)-1,0)</f>
        <v>8</v>
      </c>
      <c r="K20" s="315">
        <f>J20*G20</f>
        <v>136</v>
      </c>
    </row>
    <row r="21" spans="1:11" ht="15" thickBot="1" x14ac:dyDescent="0.35">
      <c r="A21" s="301"/>
      <c r="B21" s="301"/>
      <c r="C21" s="301"/>
      <c r="D21" s="301"/>
      <c r="E21" s="301"/>
      <c r="F21" s="301"/>
      <c r="G21" s="301"/>
      <c r="H21" s="301"/>
      <c r="I21" s="301"/>
      <c r="J21" s="301"/>
      <c r="K21" s="301"/>
    </row>
    <row r="22" spans="1:11" ht="34.200000000000003" x14ac:dyDescent="0.3">
      <c r="A22" s="920" t="s">
        <v>263</v>
      </c>
      <c r="B22" s="316" t="s">
        <v>239</v>
      </c>
      <c r="C22" s="301"/>
      <c r="D22" s="316" t="s">
        <v>240</v>
      </c>
      <c r="E22" s="301"/>
      <c r="F22" s="316" t="s">
        <v>210</v>
      </c>
      <c r="H22" s="316" t="s">
        <v>235</v>
      </c>
      <c r="I22" s="301"/>
      <c r="J22" s="316" t="s">
        <v>255</v>
      </c>
      <c r="K22" s="301"/>
    </row>
    <row r="23" spans="1:11" ht="20.399999999999999" thickBot="1" x14ac:dyDescent="0.35">
      <c r="A23" s="920"/>
      <c r="B23" s="295"/>
      <c r="C23" s="301"/>
      <c r="D23" s="295"/>
      <c r="E23" s="301"/>
      <c r="F23" s="295"/>
      <c r="G23" s="301"/>
      <c r="H23" s="295" t="s">
        <v>155</v>
      </c>
      <c r="I23" s="301"/>
      <c r="J23" s="295"/>
      <c r="K23" s="301"/>
    </row>
    <row r="24" spans="1:11" ht="19.8" x14ac:dyDescent="0.3">
      <c r="A24" s="301"/>
      <c r="B24" s="317"/>
      <c r="C24" s="301"/>
      <c r="D24" s="317"/>
      <c r="E24" s="301"/>
      <c r="F24" s="317"/>
      <c r="G24" s="301"/>
      <c r="H24" s="317"/>
      <c r="I24" s="301"/>
      <c r="J24" s="317"/>
      <c r="K24" s="301"/>
    </row>
    <row r="25" spans="1:11" ht="21.6" thickBot="1" x14ac:dyDescent="0.45">
      <c r="A25" s="926" t="s">
        <v>47</v>
      </c>
      <c r="B25" s="927"/>
      <c r="C25" s="927"/>
      <c r="D25" s="927"/>
      <c r="E25" s="927"/>
      <c r="F25" s="927"/>
      <c r="G25" s="927"/>
      <c r="H25" s="301"/>
      <c r="I25" s="301"/>
      <c r="J25" s="301"/>
      <c r="K25" s="301"/>
    </row>
    <row r="26" spans="1:11" customFormat="1" x14ac:dyDescent="0.3">
      <c r="A26" s="921" t="s">
        <v>264</v>
      </c>
      <c r="B26" s="916" t="s">
        <v>3</v>
      </c>
      <c r="C26" s="916" t="s">
        <v>4</v>
      </c>
      <c r="D26" s="916"/>
      <c r="E26" s="916"/>
      <c r="F26" s="916"/>
      <c r="G26" s="916"/>
      <c r="H26" s="916" t="s">
        <v>5</v>
      </c>
      <c r="I26" s="916" t="s">
        <v>6</v>
      </c>
      <c r="J26" s="318" t="s">
        <v>7</v>
      </c>
      <c r="K26" s="319" t="s">
        <v>9</v>
      </c>
    </row>
    <row r="27" spans="1:11" customFormat="1" ht="23.4" thickBot="1" x14ac:dyDescent="0.35">
      <c r="A27" s="922"/>
      <c r="B27" s="917"/>
      <c r="C27" s="917"/>
      <c r="D27" s="917"/>
      <c r="E27" s="917"/>
      <c r="F27" s="917"/>
      <c r="G27" s="917"/>
      <c r="H27" s="917"/>
      <c r="I27" s="917"/>
      <c r="J27" s="320" t="s">
        <v>8</v>
      </c>
      <c r="K27" s="321" t="s">
        <v>8</v>
      </c>
    </row>
    <row r="28" spans="1:11" customFormat="1" x14ac:dyDescent="0.3">
      <c r="A28" s="322" t="s">
        <v>192</v>
      </c>
      <c r="B28" s="323"/>
      <c r="C28" s="323"/>
      <c r="D28" s="324"/>
      <c r="E28" s="324"/>
      <c r="F28" s="324"/>
      <c r="G28" s="324"/>
      <c r="H28" s="323"/>
      <c r="I28" s="323"/>
      <c r="J28" s="323"/>
      <c r="K28" s="323"/>
    </row>
    <row r="29" spans="1:11" customFormat="1" ht="25.5" customHeight="1" x14ac:dyDescent="0.3">
      <c r="A29" s="942"/>
      <c r="B29" s="120" t="str">
        <f>IF('calcule pt oferta'!$E29&gt;0,'calcule pt oferta'!B29,"")</f>
        <v/>
      </c>
      <c r="C29" s="915" t="str">
        <f>IF('calcule pt oferta'!$E29&gt;0,'calcule pt oferta'!C29,"")</f>
        <v/>
      </c>
      <c r="D29" s="915"/>
      <c r="E29" s="915"/>
      <c r="F29" s="915"/>
      <c r="G29" s="915"/>
      <c r="H29" s="325" t="str">
        <f>IF('calcule pt oferta'!$E29&gt;0,'calcule pt oferta'!D29,"")</f>
        <v/>
      </c>
      <c r="I29" s="326" t="str">
        <f>IF('calcule pt oferta'!$E29&gt;0,'calcule pt oferta'!E29,"")</f>
        <v/>
      </c>
      <c r="J29" s="327" t="str">
        <f>IF('calcule pt oferta'!$E29&gt;0,'calcule pt oferta'!F29,"")</f>
        <v/>
      </c>
      <c r="K29" s="328" t="str">
        <f>IF('calcule pt oferta'!$E29&gt;0,'calcule pt oferta'!G29,"")</f>
        <v/>
      </c>
    </row>
    <row r="30" spans="1:11" customFormat="1" ht="25.5" customHeight="1" x14ac:dyDescent="0.3">
      <c r="A30" s="943"/>
      <c r="B30" s="120" t="str">
        <f>IF('calcule pt oferta'!$E30&gt;0,'calcule pt oferta'!B30,"")</f>
        <v/>
      </c>
      <c r="C30" s="934" t="str">
        <f>IF('calcule pt oferta'!$E30&gt;0,'calcule pt oferta'!C30,"")</f>
        <v/>
      </c>
      <c r="D30" s="934"/>
      <c r="E30" s="934"/>
      <c r="F30" s="934"/>
      <c r="G30" s="934"/>
      <c r="H30" s="325" t="str">
        <f>IF('calcule pt oferta'!$E30&gt;0,'calcule pt oferta'!D30,"")</f>
        <v/>
      </c>
      <c r="I30" s="326" t="str">
        <f>IF('calcule pt oferta'!$E30&gt;0,'calcule pt oferta'!E30,"")</f>
        <v/>
      </c>
      <c r="J30" s="327" t="str">
        <f>IF('calcule pt oferta'!$E30&gt;0,'calcule pt oferta'!F30,"")</f>
        <v/>
      </c>
      <c r="K30" s="328" t="str">
        <f>IF('calcule pt oferta'!$E30&gt;0,'calcule pt oferta'!G30,"")</f>
        <v/>
      </c>
    </row>
    <row r="31" spans="1:11" customFormat="1" x14ac:dyDescent="0.3">
      <c r="A31" s="329" t="s">
        <v>238</v>
      </c>
      <c r="B31" s="330"/>
      <c r="C31" s="330"/>
      <c r="D31" s="324"/>
      <c r="E31" s="324"/>
      <c r="F31" s="324"/>
      <c r="G31" s="324"/>
      <c r="H31" s="331"/>
      <c r="I31" s="332"/>
      <c r="J31" s="333"/>
      <c r="K31" s="333"/>
    </row>
    <row r="32" spans="1:11" customFormat="1" ht="61.5" customHeight="1" x14ac:dyDescent="0.3">
      <c r="A32" s="334"/>
      <c r="B32" s="335" t="str" cm="1">
        <f t="array" aca="1" ref="B32" ca="1">IFERROR(INDIRECT("'calcule pt oferta'!$B$"&amp;60+MATCH(1,'calcule pt oferta'!$E$61:$E$70,0)),"")</f>
        <v/>
      </c>
      <c r="C32" s="934" t="str" cm="1">
        <f t="array" aca="1" ref="C32" ca="1">IFERROR(INDIRECT("'calcule pt oferta'!$C$"&amp;60+MATCH(1,'calcule pt oferta'!$E$61:$E$70,0)),"")</f>
        <v/>
      </c>
      <c r="D32" s="934"/>
      <c r="E32" s="934"/>
      <c r="F32" s="934"/>
      <c r="G32" s="934"/>
      <c r="H32" s="336" t="str" cm="1">
        <f t="array" aca="1" ref="H32" ca="1">IFERROR(INDIRECT("'calcule pt oferta'!$d$"&amp;60+MATCH(1,'calcule pt oferta'!$E$61:$E$70,0)),"")</f>
        <v/>
      </c>
      <c r="I32" s="337" t="str" cm="1">
        <f t="array" aca="1" ref="I32" ca="1">IFERROR(INDIRECT("'calcule pt oferta'!$e$"&amp;60+MATCH(1,'calcule pt oferta'!$E$61:$E$70,0)),"")</f>
        <v/>
      </c>
      <c r="J32" s="338" t="str" cm="1">
        <f t="array" aca="1" ref="J32" ca="1">IFERROR(INDIRECT("'calcule pt oferta'!$f$"&amp;60+MATCH(1,'calcule pt oferta'!$E$61:$E$70,0)),"")</f>
        <v/>
      </c>
      <c r="K32" s="339" t="str" cm="1">
        <f t="array" aca="1" ref="K32" ca="1">IFERROR(INDIRECT("'calcule pt oferta'!$g$"&amp;60+MATCH(1,'calcule pt oferta'!$E$61:$E$70,0)),"")</f>
        <v/>
      </c>
    </row>
    <row r="33" spans="1:11" customFormat="1" x14ac:dyDescent="0.3">
      <c r="A33" s="329" t="s">
        <v>237</v>
      </c>
      <c r="B33" s="330"/>
      <c r="C33" s="330"/>
      <c r="D33" s="324"/>
      <c r="E33" s="324"/>
      <c r="F33" s="324"/>
      <c r="G33" s="324"/>
      <c r="H33" s="340"/>
      <c r="I33" s="341"/>
      <c r="J33" s="342"/>
      <c r="K33" s="342"/>
    </row>
    <row r="34" spans="1:11" customFormat="1" ht="69" customHeight="1" x14ac:dyDescent="0.3">
      <c r="A34" s="334"/>
      <c r="B34" s="335" cm="1">
        <f t="array" aca="1" ref="B34" ca="1">IFERROR(INDIRECT("'calcule pt oferta'!$B$"&amp;48+MATCH(1,'calcule pt oferta'!$E$49:$E$59,0)),"")</f>
        <v>120300</v>
      </c>
      <c r="C34" s="934" t="str" cm="1">
        <f t="array" aca="1" ref="C34" ca="1">IFERROR(INDIRECT("'calcule pt oferta'!$C$"&amp;48+MATCH(1,'calcule pt oferta'!$E$49:$E$59,0)),"")</f>
        <v xml:space="preserve">MAGNUM Cable 300 W - 17,6 m </v>
      </c>
      <c r="D34" s="934"/>
      <c r="E34" s="934"/>
      <c r="F34" s="934"/>
      <c r="G34" s="934"/>
      <c r="H34" s="336" t="str" cm="1">
        <f t="array" aca="1" ref="H34" ca="1">IFERROR(INDIRECT("'calcule pt oferta'!$d$"&amp;48+MATCH(1,'calcule pt oferta'!$E$49:$E$59,0)),"")</f>
        <v>buc.</v>
      </c>
      <c r="I34" s="337" cm="1">
        <f t="array" aca="1" ref="I34" ca="1">IFERROR(INDIRECT("'calcule pt oferta'!$e$"&amp;48+MATCH(1,'calcule pt oferta'!$E$49:$E$59,0)),"")</f>
        <v>1</v>
      </c>
      <c r="J34" s="338" cm="1">
        <f t="array" aca="1" ref="J34" ca="1">IFERROR(INDIRECT("'calcule pt oferta'!$f$"&amp;48+MATCH(1,'calcule pt oferta'!$E$49:$E$59,0)),"")</f>
        <v>42</v>
      </c>
      <c r="K34" s="339" cm="1">
        <f t="array" aca="1" ref="K34" ca="1">IFERROR(INDIRECT("'calcule pt oferta'!$g$"&amp;48+MATCH(1,'calcule pt oferta'!$E$49:$E$59,0)),"")</f>
        <v>42</v>
      </c>
    </row>
    <row r="35" spans="1:11" customFormat="1" x14ac:dyDescent="0.3">
      <c r="A35" s="343" t="s">
        <v>243</v>
      </c>
      <c r="B35" s="344"/>
      <c r="C35" s="344"/>
      <c r="D35" s="345"/>
      <c r="E35" s="345"/>
      <c r="F35" s="345"/>
      <c r="G35" s="345"/>
      <c r="H35" s="346"/>
      <c r="I35" s="347"/>
      <c r="J35" s="348"/>
      <c r="K35" s="348"/>
    </row>
    <row r="36" spans="1:11" customFormat="1" ht="69" customHeight="1" x14ac:dyDescent="0.3">
      <c r="A36" s="334"/>
      <c r="B36" s="335" t="str" cm="1">
        <f t="array" aca="1" ref="B36" ca="1">IFERROR(INDIRECT("'calcule pt oferta'!$B$"&amp;37+MATCH(1,'calcule pt oferta'!$E$38:$E$47,0)),"")</f>
        <v/>
      </c>
      <c r="C36" s="934" t="str" cm="1">
        <f t="array" aca="1" ref="C36" ca="1">IFERROR(INDIRECT("'calcule pt oferta'!$C$"&amp;37+MATCH(1,'calcule pt oferta'!$E$38:$E$47,0)),"")</f>
        <v/>
      </c>
      <c r="D36" s="934"/>
      <c r="E36" s="934"/>
      <c r="F36" s="934"/>
      <c r="G36" s="934"/>
      <c r="H36" s="336" t="str" cm="1">
        <f t="array" aca="1" ref="H36" ca="1">IFERROR(INDIRECT("'calcule pt oferta'!$d$"&amp;37+MATCH(1,'calcule pt oferta'!$E$38:$E$47,0)),"")</f>
        <v/>
      </c>
      <c r="I36" s="337" t="str" cm="1">
        <f t="array" aca="1" ref="I36" ca="1">IFERROR(INDIRECT("'calcule pt oferta'!$e$"&amp;37+MATCH(1,'calcule pt oferta'!$E$38:$E$47,0)),"")</f>
        <v/>
      </c>
      <c r="J36" s="338" t="str" cm="1">
        <f t="array" aca="1" ref="J36" ca="1">IFERROR(INDIRECT("'calcule pt oferta'!$f$"&amp;37+MATCH(1,'calcule pt oferta'!$E$38:$E$47,0)),"")</f>
        <v/>
      </c>
      <c r="K36" s="339" t="str" cm="1">
        <f t="array" aca="1" ref="K36" ca="1">IFERROR(INDIRECT("'calcule pt oferta'!$g$"&amp;37+MATCH(1,'calcule pt oferta'!$E$38:$E$47,0)),"")</f>
        <v/>
      </c>
    </row>
    <row r="37" spans="1:11" x14ac:dyDescent="0.3">
      <c r="A37" s="301"/>
      <c r="B37" s="301"/>
      <c r="C37" s="301"/>
      <c r="D37" s="301"/>
      <c r="E37" s="301"/>
      <c r="F37" s="301"/>
      <c r="G37" s="301"/>
      <c r="H37" s="301"/>
      <c r="I37" s="301"/>
      <c r="J37" s="301"/>
      <c r="K37" s="301"/>
    </row>
    <row r="38" spans="1:11" x14ac:dyDescent="0.3">
      <c r="A38" s="301"/>
      <c r="B38" s="301"/>
      <c r="C38" s="301"/>
      <c r="D38" s="301"/>
      <c r="E38" s="301"/>
      <c r="F38" s="301"/>
      <c r="G38" s="301"/>
      <c r="H38" s="301"/>
      <c r="I38" s="301"/>
      <c r="J38" s="301"/>
      <c r="K38" s="301"/>
    </row>
    <row r="39" spans="1:11" x14ac:dyDescent="0.3">
      <c r="A39" s="301"/>
      <c r="B39" s="301"/>
      <c r="C39" s="301"/>
      <c r="D39" s="301"/>
      <c r="E39" s="301"/>
      <c r="F39" s="301"/>
      <c r="G39" s="301"/>
      <c r="H39" s="301"/>
      <c r="I39" s="301"/>
      <c r="J39" s="301"/>
      <c r="K39" s="301"/>
    </row>
    <row r="40" spans="1:11" x14ac:dyDescent="0.3">
      <c r="A40" s="301"/>
      <c r="B40" s="301"/>
      <c r="C40" s="301"/>
      <c r="D40" s="301"/>
      <c r="E40" s="301"/>
      <c r="F40" s="301"/>
      <c r="G40" s="301"/>
      <c r="H40" s="301"/>
      <c r="I40" s="301"/>
      <c r="J40" s="301"/>
      <c r="K40" s="301"/>
    </row>
    <row r="41" spans="1:11" x14ac:dyDescent="0.3">
      <c r="A41" s="301"/>
      <c r="B41" s="301"/>
      <c r="C41" s="301"/>
      <c r="D41" s="301"/>
      <c r="E41" s="301"/>
      <c r="F41" s="301"/>
      <c r="G41" s="301"/>
      <c r="H41" s="301"/>
      <c r="I41" s="301"/>
      <c r="J41" s="301"/>
      <c r="K41" s="301"/>
    </row>
    <row r="42" spans="1:11" x14ac:dyDescent="0.3">
      <c r="A42" s="301"/>
      <c r="B42" s="301"/>
      <c r="C42" s="301"/>
      <c r="D42" s="301"/>
      <c r="E42" s="301"/>
      <c r="F42" s="301"/>
      <c r="G42" s="301"/>
      <c r="H42" s="301"/>
      <c r="I42" s="301"/>
      <c r="J42" s="301"/>
      <c r="K42" s="301"/>
    </row>
    <row r="43" spans="1:11" x14ac:dyDescent="0.3">
      <c r="A43" s="301"/>
      <c r="B43" s="301"/>
      <c r="C43" s="301"/>
      <c r="D43" s="301"/>
      <c r="E43" s="301"/>
      <c r="F43" s="301"/>
      <c r="G43" s="301"/>
      <c r="H43" s="301"/>
      <c r="I43" s="301"/>
      <c r="J43" s="301"/>
      <c r="K43" s="301"/>
    </row>
    <row r="44" spans="1:11" x14ac:dyDescent="0.3">
      <c r="A44" s="301"/>
      <c r="B44" s="301"/>
      <c r="C44" s="301"/>
      <c r="D44" s="301"/>
      <c r="E44" s="301"/>
      <c r="F44" s="301"/>
      <c r="G44" s="301"/>
      <c r="H44" s="301"/>
      <c r="I44" s="301"/>
      <c r="J44" s="301"/>
      <c r="K44" s="301"/>
    </row>
    <row r="45" spans="1:11" x14ac:dyDescent="0.3">
      <c r="A45" s="301"/>
      <c r="B45" s="301"/>
      <c r="C45" s="301"/>
      <c r="D45" s="301"/>
      <c r="E45" s="301"/>
      <c r="F45" s="301"/>
      <c r="G45" s="301"/>
      <c r="H45" s="301"/>
      <c r="I45" s="301"/>
      <c r="J45" s="301"/>
      <c r="K45" s="301"/>
    </row>
    <row r="46" spans="1:11" x14ac:dyDescent="0.3">
      <c r="A46" s="301"/>
      <c r="B46" s="301"/>
      <c r="C46" s="301"/>
      <c r="D46" s="301"/>
      <c r="E46" s="301"/>
      <c r="F46" s="301"/>
      <c r="G46" s="301"/>
      <c r="H46" s="301"/>
      <c r="I46" s="301"/>
      <c r="J46" s="301"/>
      <c r="K46" s="301"/>
    </row>
    <row r="47" spans="1:11" ht="15" thickBot="1" x14ac:dyDescent="0.35">
      <c r="A47" s="301"/>
      <c r="B47" s="301"/>
      <c r="C47" s="301"/>
      <c r="D47" s="301"/>
      <c r="E47" s="301"/>
      <c r="F47" s="301"/>
      <c r="G47" s="301"/>
      <c r="H47" s="301"/>
      <c r="I47" s="301"/>
      <c r="J47" s="301"/>
      <c r="K47" s="301"/>
    </row>
    <row r="48" spans="1:11" ht="11.4" x14ac:dyDescent="0.2">
      <c r="A48" s="921" t="s">
        <v>264</v>
      </c>
      <c r="B48" s="916" t="s">
        <v>3</v>
      </c>
      <c r="C48" s="916" t="s">
        <v>4</v>
      </c>
      <c r="D48" s="916"/>
      <c r="E48" s="916"/>
      <c r="F48" s="916"/>
      <c r="G48" s="916"/>
      <c r="H48" s="916" t="s">
        <v>5</v>
      </c>
      <c r="I48" s="916" t="s">
        <v>6</v>
      </c>
      <c r="J48" s="318" t="s">
        <v>7</v>
      </c>
      <c r="K48" s="319" t="s">
        <v>9</v>
      </c>
    </row>
    <row r="49" spans="1:11" ht="23.4" thickBot="1" x14ac:dyDescent="0.25">
      <c r="A49" s="922"/>
      <c r="B49" s="917"/>
      <c r="C49" s="917"/>
      <c r="D49" s="917"/>
      <c r="E49" s="917"/>
      <c r="F49" s="917"/>
      <c r="G49" s="917"/>
      <c r="H49" s="917"/>
      <c r="I49" s="917"/>
      <c r="J49" s="320" t="s">
        <v>8</v>
      </c>
      <c r="K49" s="321" t="s">
        <v>8</v>
      </c>
    </row>
    <row r="50" spans="1:11" ht="15" thickBot="1" x14ac:dyDescent="0.35">
      <c r="A50" s="349" t="s">
        <v>82</v>
      </c>
      <c r="B50" s="350"/>
      <c r="C50" s="350"/>
      <c r="D50" s="350"/>
      <c r="E50" s="351"/>
      <c r="F50" s="351"/>
      <c r="G50" s="324"/>
      <c r="H50" s="324"/>
      <c r="I50" s="324"/>
      <c r="J50" s="324"/>
      <c r="K50" s="324"/>
    </row>
    <row r="51" spans="1:11" ht="11.4" x14ac:dyDescent="0.2">
      <c r="A51" s="124"/>
      <c r="B51" s="352">
        <v>160100</v>
      </c>
      <c r="C51" s="935" t="s">
        <v>79</v>
      </c>
      <c r="D51" s="935"/>
      <c r="E51" s="935"/>
      <c r="F51" s="935"/>
      <c r="G51" s="935"/>
      <c r="H51" s="125" t="s">
        <v>10</v>
      </c>
      <c r="I51" s="296">
        <f>'calcule pt oferta'!E72</f>
        <v>0</v>
      </c>
      <c r="J51" s="353">
        <v>12</v>
      </c>
      <c r="K51" s="354">
        <f>I51*J51</f>
        <v>0</v>
      </c>
    </row>
    <row r="52" spans="1:11" ht="11.4" x14ac:dyDescent="0.2">
      <c r="A52" s="126"/>
      <c r="B52" s="131">
        <v>891551</v>
      </c>
      <c r="C52" s="914" t="s">
        <v>144</v>
      </c>
      <c r="D52" s="914"/>
      <c r="E52" s="914"/>
      <c r="F52" s="914"/>
      <c r="G52" s="914"/>
      <c r="H52" s="122" t="s">
        <v>10</v>
      </c>
      <c r="I52" s="297">
        <v>1</v>
      </c>
      <c r="J52" s="355">
        <v>87</v>
      </c>
      <c r="K52" s="356">
        <f>I52*J52</f>
        <v>87</v>
      </c>
    </row>
    <row r="53" spans="1:11" ht="11.4" x14ac:dyDescent="0.2">
      <c r="A53" s="126"/>
      <c r="B53" s="130">
        <v>892551</v>
      </c>
      <c r="C53" s="936" t="s">
        <v>193</v>
      </c>
      <c r="D53" s="936"/>
      <c r="E53" s="936"/>
      <c r="F53" s="936"/>
      <c r="G53" s="936"/>
      <c r="H53" s="134" t="s">
        <v>10</v>
      </c>
      <c r="I53" s="297">
        <v>1</v>
      </c>
      <c r="J53" s="355">
        <v>101</v>
      </c>
      <c r="K53" s="356">
        <f>I53*J53</f>
        <v>101</v>
      </c>
    </row>
    <row r="54" spans="1:11" ht="11.4" x14ac:dyDescent="0.2">
      <c r="A54" s="126"/>
      <c r="B54" s="135">
        <v>891650</v>
      </c>
      <c r="C54" s="914" t="s">
        <v>236</v>
      </c>
      <c r="D54" s="914"/>
      <c r="E54" s="914"/>
      <c r="F54" s="914"/>
      <c r="G54" s="914"/>
      <c r="H54" s="122" t="s">
        <v>10</v>
      </c>
      <c r="I54" s="298"/>
      <c r="J54" s="355">
        <v>40</v>
      </c>
      <c r="K54" s="356">
        <f>I54*J54</f>
        <v>0</v>
      </c>
    </row>
    <row r="55" spans="1:11" ht="12" thickBot="1" x14ac:dyDescent="0.25">
      <c r="A55" s="357"/>
      <c r="B55" s="358">
        <v>720200</v>
      </c>
      <c r="C55" s="944" t="s">
        <v>66</v>
      </c>
      <c r="D55" s="944"/>
      <c r="E55" s="944"/>
      <c r="F55" s="944"/>
      <c r="G55" s="944"/>
      <c r="H55" s="359" t="s">
        <v>67</v>
      </c>
      <c r="I55" s="299">
        <f>'calcule pt oferta'!E76</f>
        <v>2</v>
      </c>
      <c r="J55" s="360">
        <v>5</v>
      </c>
      <c r="K55" s="361">
        <f>I55*J55</f>
        <v>10</v>
      </c>
    </row>
    <row r="56" spans="1:11" ht="11.4" x14ac:dyDescent="0.2">
      <c r="A56" s="945" t="s">
        <v>18</v>
      </c>
      <c r="B56" s="946"/>
      <c r="C56" s="946"/>
      <c r="D56" s="946"/>
      <c r="E56" s="946"/>
      <c r="F56" s="946"/>
      <c r="G56" s="946"/>
      <c r="H56" s="946"/>
      <c r="I56" s="946"/>
      <c r="J56" s="947"/>
      <c r="K56" s="362">
        <f ca="1">SUM(K29:K55)</f>
        <v>240</v>
      </c>
    </row>
    <row r="57" spans="1:11" ht="11.4" x14ac:dyDescent="0.2">
      <c r="A57" s="300">
        <v>0.05</v>
      </c>
      <c r="B57" s="948" t="s">
        <v>70</v>
      </c>
      <c r="C57" s="948"/>
      <c r="D57" s="948"/>
      <c r="E57" s="948"/>
      <c r="F57" s="948"/>
      <c r="G57" s="948"/>
      <c r="H57" s="948"/>
      <c r="I57" s="948"/>
      <c r="J57" s="949"/>
      <c r="K57" s="363">
        <f ca="1">K56*(1-A57)</f>
        <v>228</v>
      </c>
    </row>
    <row r="58" spans="1:11" ht="12" thickBot="1" x14ac:dyDescent="0.25">
      <c r="A58" s="950" t="s">
        <v>19</v>
      </c>
      <c r="B58" s="951"/>
      <c r="C58" s="951"/>
      <c r="D58" s="951"/>
      <c r="E58" s="951"/>
      <c r="F58" s="951"/>
      <c r="G58" s="951"/>
      <c r="H58" s="951"/>
      <c r="I58" s="951"/>
      <c r="J58" s="952"/>
      <c r="K58" s="364">
        <f ca="1">K57*1.19</f>
        <v>271.32</v>
      </c>
    </row>
    <row r="59" spans="1:11" x14ac:dyDescent="0.3">
      <c r="A59" s="63"/>
      <c r="B59" s="63"/>
      <c r="C59" s="63"/>
      <c r="D59" s="63"/>
      <c r="E59" s="63"/>
      <c r="F59" s="63"/>
      <c r="G59" s="63"/>
      <c r="H59" s="301"/>
      <c r="I59" s="301"/>
      <c r="J59" s="301"/>
      <c r="K59" s="301"/>
    </row>
    <row r="60" spans="1:11" x14ac:dyDescent="0.3">
      <c r="A60" s="933" t="s">
        <v>20</v>
      </c>
      <c r="B60" s="938"/>
      <c r="C60" s="938"/>
      <c r="D60" s="938"/>
      <c r="E60" s="938"/>
      <c r="F60" s="938"/>
      <c r="G60" s="938"/>
      <c r="H60" s="301"/>
      <c r="I60" s="301"/>
      <c r="J60" s="301"/>
      <c r="K60" s="301"/>
    </row>
    <row r="61" spans="1:11" ht="11.4" x14ac:dyDescent="0.2">
      <c r="A61" s="937" t="s">
        <v>141</v>
      </c>
      <c r="B61" s="937"/>
      <c r="C61" s="937"/>
      <c r="D61" s="937"/>
      <c r="E61" s="937"/>
      <c r="F61" s="937"/>
      <c r="G61" s="937"/>
      <c r="H61" s="937"/>
      <c r="I61" s="937"/>
      <c r="J61" s="937"/>
      <c r="K61" s="937"/>
    </row>
    <row r="62" spans="1:11" x14ac:dyDescent="0.3">
      <c r="A62" s="928" t="s">
        <v>165</v>
      </c>
      <c r="B62" s="928"/>
      <c r="C62" s="928"/>
      <c r="D62" s="928"/>
      <c r="E62" s="928"/>
      <c r="F62" s="928"/>
      <c r="G62" s="928"/>
      <c r="H62" s="367">
        <f>'calcule pt oferta'!D83</f>
        <v>0.3</v>
      </c>
      <c r="I62" s="366"/>
      <c r="J62" s="366"/>
    </row>
    <row r="63" spans="1:11" x14ac:dyDescent="0.3">
      <c r="A63" s="63"/>
      <c r="B63" s="63"/>
      <c r="C63" s="63"/>
      <c r="D63" s="63" t="s">
        <v>102</v>
      </c>
      <c r="E63" s="63"/>
      <c r="F63" s="63"/>
      <c r="G63" s="63"/>
      <c r="H63" s="301"/>
      <c r="I63" s="301"/>
      <c r="J63" s="301"/>
      <c r="K63" s="301"/>
    </row>
    <row r="64" spans="1:11" ht="11.4" x14ac:dyDescent="0.2">
      <c r="A64" s="929" t="s">
        <v>21</v>
      </c>
      <c r="B64" s="929"/>
      <c r="C64" s="929"/>
      <c r="D64" s="929"/>
      <c r="E64" s="929"/>
      <c r="F64" s="929"/>
      <c r="G64" s="929"/>
      <c r="H64" s="929"/>
      <c r="I64" s="929"/>
      <c r="J64" s="929"/>
      <c r="K64" s="929"/>
    </row>
    <row r="65" spans="1:11" ht="11.4" x14ac:dyDescent="0.2">
      <c r="A65" s="933" t="s">
        <v>142</v>
      </c>
      <c r="B65" s="933"/>
      <c r="C65" s="933"/>
      <c r="D65" s="933"/>
      <c r="E65" s="933"/>
      <c r="F65" s="933"/>
      <c r="G65" s="933"/>
      <c r="H65" s="933"/>
      <c r="I65" s="933"/>
      <c r="J65" s="933"/>
      <c r="K65" s="933"/>
    </row>
    <row r="66" spans="1:11" ht="11.4" x14ac:dyDescent="0.2">
      <c r="A66" s="933" t="s">
        <v>22</v>
      </c>
      <c r="B66" s="933"/>
      <c r="C66" s="933"/>
      <c r="D66" s="933"/>
      <c r="E66" s="933"/>
      <c r="F66" s="933"/>
      <c r="G66" s="933"/>
      <c r="H66" s="933"/>
      <c r="I66" s="933"/>
      <c r="J66" s="933"/>
      <c r="K66" s="933"/>
    </row>
    <row r="67" spans="1:11" ht="11.4" x14ac:dyDescent="0.2">
      <c r="A67" s="933" t="s">
        <v>23</v>
      </c>
      <c r="B67" s="933"/>
      <c r="C67" s="933"/>
      <c r="D67" s="933"/>
      <c r="E67" s="933"/>
      <c r="F67" s="933"/>
      <c r="G67" s="933"/>
      <c r="H67" s="933"/>
      <c r="I67" s="933"/>
      <c r="J67" s="933"/>
      <c r="K67" s="933"/>
    </row>
    <row r="68" spans="1:11" x14ac:dyDescent="0.3">
      <c r="A68" s="933"/>
      <c r="B68" s="939"/>
      <c r="C68" s="939"/>
      <c r="D68" s="939"/>
      <c r="E68" s="939"/>
      <c r="F68" s="939"/>
      <c r="G68" s="939"/>
      <c r="H68" s="301"/>
      <c r="I68" s="301"/>
      <c r="J68" s="301"/>
      <c r="K68" s="301"/>
    </row>
    <row r="69" spans="1:11" x14ac:dyDescent="0.3">
      <c r="A69" s="365"/>
      <c r="B69" s="301"/>
      <c r="C69" s="301"/>
      <c r="D69" s="301"/>
      <c r="E69" s="301"/>
      <c r="F69" s="301"/>
      <c r="G69" s="301"/>
      <c r="H69" s="301"/>
      <c r="I69" s="301"/>
      <c r="J69" s="301"/>
      <c r="K69" s="301"/>
    </row>
    <row r="70" spans="1:11" x14ac:dyDescent="0.3">
      <c r="A70" s="63"/>
      <c r="B70" s="940" t="s">
        <v>11</v>
      </c>
      <c r="C70" s="940"/>
      <c r="D70" s="940"/>
      <c r="E70" s="940"/>
      <c r="F70" s="940"/>
      <c r="G70" s="301"/>
      <c r="H70" s="301"/>
      <c r="I70" s="301"/>
      <c r="J70" s="301"/>
      <c r="K70" s="301"/>
    </row>
    <row r="71" spans="1:11" x14ac:dyDescent="0.3">
      <c r="A71" s="63"/>
      <c r="B71" s="941" t="s">
        <v>63</v>
      </c>
      <c r="C71" s="941"/>
      <c r="D71" s="941"/>
      <c r="E71" s="941"/>
      <c r="F71" s="941"/>
      <c r="G71" s="301"/>
      <c r="H71" s="301"/>
      <c r="I71" s="301"/>
      <c r="J71" s="301"/>
      <c r="K71" s="301"/>
    </row>
    <row r="72" spans="1:11" x14ac:dyDescent="0.3">
      <c r="A72" s="63"/>
      <c r="B72" s="941" t="s">
        <v>65</v>
      </c>
      <c r="C72" s="941"/>
      <c r="D72" s="941"/>
      <c r="E72" s="941"/>
      <c r="F72" s="941"/>
      <c r="G72" s="301"/>
      <c r="H72" s="301"/>
      <c r="I72" s="301"/>
      <c r="J72" s="301"/>
      <c r="K72" s="301"/>
    </row>
    <row r="73" spans="1:11" x14ac:dyDescent="0.3">
      <c r="A73" s="63"/>
      <c r="B73" s="913" t="s">
        <v>64</v>
      </c>
      <c r="C73" s="913"/>
      <c r="D73" s="913"/>
      <c r="E73" s="913"/>
      <c r="F73" s="913"/>
      <c r="G73" s="301"/>
      <c r="H73" s="301"/>
      <c r="I73" s="301"/>
      <c r="J73" s="301"/>
      <c r="K73" s="301"/>
    </row>
    <row r="74" spans="1:11" x14ac:dyDescent="0.3">
      <c r="A74" s="63"/>
      <c r="B74" s="913" t="s">
        <v>12</v>
      </c>
      <c r="C74" s="913"/>
      <c r="D74" s="913"/>
      <c r="E74" s="913"/>
      <c r="F74" s="913"/>
      <c r="G74" s="301"/>
      <c r="H74" s="301"/>
      <c r="I74" s="301"/>
      <c r="J74" s="301"/>
      <c r="K74" s="301"/>
    </row>
    <row r="75" spans="1:11" x14ac:dyDescent="0.3"/>
  </sheetData>
  <sheetProtection algorithmName="SHA-512" hashValue="ygSlhQzsjgskVom/vya9h3hrOytHDMr0y0L1Gs5/yKjsUCmmTsTbENOOGXFxt0DS62R54tWFk2bvoIF0Au+BiQ==" saltValue="+3tjfFevAwdl51DzQt0qMA==" spinCount="100000" sheet="1" objects="1" scenarios="1" selectLockedCells="1"/>
  <mergeCells count="49">
    <mergeCell ref="C34:G34"/>
    <mergeCell ref="C55:G55"/>
    <mergeCell ref="A56:J56"/>
    <mergeCell ref="B57:J57"/>
    <mergeCell ref="A58:J58"/>
    <mergeCell ref="A48:A49"/>
    <mergeCell ref="B48:B49"/>
    <mergeCell ref="C48:G49"/>
    <mergeCell ref="H48:H49"/>
    <mergeCell ref="I48:I49"/>
    <mergeCell ref="H26:H27"/>
    <mergeCell ref="I26:I27"/>
    <mergeCell ref="A29:A30"/>
    <mergeCell ref="C30:G30"/>
    <mergeCell ref="C32:G32"/>
    <mergeCell ref="A66:K66"/>
    <mergeCell ref="A68:G68"/>
    <mergeCell ref="B70:F70"/>
    <mergeCell ref="B71:F71"/>
    <mergeCell ref="B72:F72"/>
    <mergeCell ref="A67:K67"/>
    <mergeCell ref="A65:K65"/>
    <mergeCell ref="C36:G36"/>
    <mergeCell ref="C51:G51"/>
    <mergeCell ref="C52:G52"/>
    <mergeCell ref="C53:G53"/>
    <mergeCell ref="A61:K61"/>
    <mergeCell ref="A60:G60"/>
    <mergeCell ref="A7:C7"/>
    <mergeCell ref="B9:H9"/>
    <mergeCell ref="B10:H10"/>
    <mergeCell ref="B11:H11"/>
    <mergeCell ref="B12:H12"/>
    <mergeCell ref="A16:K16"/>
    <mergeCell ref="B13:H13"/>
    <mergeCell ref="B73:F73"/>
    <mergeCell ref="B74:F74"/>
    <mergeCell ref="C54:G54"/>
    <mergeCell ref="C29:G29"/>
    <mergeCell ref="B26:B27"/>
    <mergeCell ref="B19:C19"/>
    <mergeCell ref="A22:A23"/>
    <mergeCell ref="A26:A27"/>
    <mergeCell ref="C26:G27"/>
    <mergeCell ref="A18:C18"/>
    <mergeCell ref="B20:C20"/>
    <mergeCell ref="A25:G25"/>
    <mergeCell ref="A62:G62"/>
    <mergeCell ref="A64:K64"/>
  </mergeCells>
  <conditionalFormatting sqref="A19:C19">
    <cfRule type="expression" dxfId="6" priority="2">
      <formula>$A$19="x"</formula>
    </cfRule>
  </conditionalFormatting>
  <conditionalFormatting sqref="A20:C20">
    <cfRule type="expression" dxfId="5" priority="1">
      <formula>$A$20="x"</formula>
    </cfRule>
  </conditionalFormatting>
  <conditionalFormatting sqref="B22:B23">
    <cfRule type="expression" dxfId="4" priority="7">
      <formula>$B$23="x"</formula>
    </cfRule>
  </conditionalFormatting>
  <conditionalFormatting sqref="D22:D23">
    <cfRule type="expression" dxfId="3" priority="6">
      <formula>$D$23="x"</formula>
    </cfRule>
  </conditionalFormatting>
  <conditionalFormatting sqref="F22:F23">
    <cfRule type="expression" dxfId="2" priority="5">
      <formula>$F$23="x"</formula>
    </cfRule>
  </conditionalFormatting>
  <conditionalFormatting sqref="H22:H23">
    <cfRule type="expression" dxfId="1" priority="4">
      <formula>$H$23="x"</formula>
    </cfRule>
  </conditionalFormatting>
  <conditionalFormatting sqref="J22:J23">
    <cfRule type="expression" dxfId="0" priority="3">
      <formula>$J$23="x"</formula>
    </cfRule>
  </conditionalFormatting>
  <dataValidations count="2">
    <dataValidation type="list" allowBlank="1" showInputMessage="1" showErrorMessage="1" sqref="E20" xr:uid="{ECA17D29-D412-4F9C-90F3-08FE2352711E}">
      <formula1>"20,30,50"</formula1>
    </dataValidation>
    <dataValidation type="list" allowBlank="1" showInputMessage="1" showErrorMessage="1" sqref="F20" xr:uid="{961F3081-6A0E-4D38-939F-201211F2D5E5}">
      <formula1>"-20, -25, -35"</formula1>
    </dataValidation>
  </dataValidations>
  <hyperlinks>
    <hyperlink ref="B74" r:id="rId1" xr:uid="{81E6C2C6-50B0-49E9-96EF-0328EBFFC58C}"/>
    <hyperlink ref="B73" r:id="rId2" display="mailto:mihail.macovei@magnumheating.ro" xr:uid="{02E68291-EA3F-4E8C-B32C-37A0B47B6E4B}"/>
  </hyperlinks>
  <printOptions horizontalCentered="1"/>
  <pageMargins left="0.39370078740157483" right="0.23622047244094491" top="1.1811023622047245" bottom="0.74803149606299213" header="0.31496062992125984" footer="0.31496062992125984"/>
  <pageSetup paperSize="9" scale="83" orientation="portrait" r:id="rId3"/>
  <headerFooter scaleWithDoc="0" alignWithMargins="0">
    <oddHeader>&amp;L&amp;G&amp;R&amp;G</oddHeader>
    <oddFooter>&amp;LMobil:  (+4) 0724.204.888
             (+4) 0766.367.287&amp;CTel :  (+4) 0314.361.836
Email: comercial@magnumheating.ro</oddFooter>
  </headerFooter>
  <rowBreaks count="1" manualBreakCount="1">
    <brk id="36" max="16383" man="1"/>
  </rowBreaks>
  <drawing r:id="rId4"/>
  <legacyDrawing r:id="rId5"/>
  <legacyDrawingHF r:id="rId6"/>
  <extLst>
    <ext xmlns:x14="http://schemas.microsoft.com/office/spreadsheetml/2009/9/main" uri="{CCE6A557-97BC-4b89-ADB6-D9C93CAAB3DF}">
      <x14:dataValidations xmlns:xm="http://schemas.microsoft.com/office/excel/2006/main" count="1">
        <x14:dataValidation type="list" allowBlank="1" showInputMessage="1" showErrorMessage="1" xr:uid="{5CCF0679-4139-40C8-ADB5-ACD2C6365E0D}">
          <x14:formula1>
            <xm:f>'calcule pt oferta'!$L$26:$AA$26</xm:f>
          </x14:formula1>
          <xm:sqref>H20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B744-4286-4631-B823-44EADD9A0F51}">
  <sheetPr>
    <tabColor rgb="FFFF3B3B"/>
  </sheetPr>
  <dimension ref="A1:W264"/>
  <sheetViews>
    <sheetView zoomScaleNormal="100" zoomScaleSheetLayoutView="100" workbookViewId="0">
      <selection activeCell="N1" sqref="N1"/>
    </sheetView>
  </sheetViews>
  <sheetFormatPr defaultColWidth="9.109375" defaultRowHeight="11.4" x14ac:dyDescent="0.2"/>
  <cols>
    <col min="1" max="1" width="5.6640625" style="5" customWidth="1"/>
    <col min="2" max="2" width="8.6640625" style="5" customWidth="1"/>
    <col min="3" max="3" width="62" style="5" customWidth="1"/>
    <col min="4" max="4" width="9.33203125" style="5" customWidth="1"/>
    <col min="5" max="5" width="5.88671875" style="5" customWidth="1"/>
    <col min="6" max="6" width="9.88671875" style="5" customWidth="1"/>
    <col min="7" max="7" width="10.5546875" style="5" customWidth="1"/>
    <col min="8" max="8" width="7.5546875" style="5" customWidth="1"/>
    <col min="9" max="9" width="9.109375" style="5" hidden="1" customWidth="1"/>
    <col min="10" max="11" width="0.109375" style="5" hidden="1" customWidth="1"/>
    <col min="12" max="13" width="9.109375" style="5"/>
    <col min="14" max="14" width="9.5546875" style="5" customWidth="1"/>
    <col min="15" max="15" width="12" style="5" customWidth="1"/>
    <col min="16" max="16" width="11" style="5" customWidth="1"/>
    <col min="17" max="17" width="14.88671875" style="5" bestFit="1" customWidth="1"/>
    <col min="18" max="18" width="8" style="5" customWidth="1"/>
    <col min="19" max="19" width="9.109375" style="5"/>
    <col min="20" max="20" width="12.33203125" style="5" customWidth="1"/>
    <col min="21" max="21" width="11" style="5" customWidth="1"/>
    <col min="22" max="22" width="9.109375" style="5"/>
    <col min="23" max="24" width="9.6640625" style="5" customWidth="1"/>
    <col min="25" max="16384" width="9.109375" style="5"/>
  </cols>
  <sheetData>
    <row r="1" spans="1:18" ht="129" customHeight="1" x14ac:dyDescent="0.2">
      <c r="C1" s="734" t="s">
        <v>449</v>
      </c>
      <c r="D1" s="734"/>
      <c r="E1" s="734"/>
      <c r="F1" s="734"/>
      <c r="G1" s="734"/>
      <c r="H1" s="8"/>
      <c r="I1" s="8"/>
      <c r="J1" s="8"/>
      <c r="K1" s="8"/>
    </row>
    <row r="2" spans="1:18" ht="14.4" x14ac:dyDescent="0.3">
      <c r="A2" s="739" t="s">
        <v>493</v>
      </c>
      <c r="B2" s="740"/>
      <c r="C2" s="740"/>
    </row>
    <row r="3" spans="1:18" x14ac:dyDescent="0.2">
      <c r="A3" s="2"/>
    </row>
    <row r="4" spans="1:18" ht="14.4" x14ac:dyDescent="0.3">
      <c r="A4" s="739" t="s">
        <v>304</v>
      </c>
      <c r="B4" s="740"/>
      <c r="C4" s="740"/>
    </row>
    <row r="5" spans="1:18" ht="14.4" x14ac:dyDescent="0.3">
      <c r="A5" s="739" t="s">
        <v>15</v>
      </c>
      <c r="B5" s="740"/>
      <c r="C5" s="740"/>
    </row>
    <row r="6" spans="1:18" ht="14.4" x14ac:dyDescent="0.3">
      <c r="A6" s="739" t="s">
        <v>16</v>
      </c>
      <c r="B6" s="740"/>
      <c r="C6" s="740"/>
    </row>
    <row r="7" spans="1:18" ht="14.4" x14ac:dyDescent="0.3">
      <c r="A7" s="956" t="s">
        <v>13</v>
      </c>
      <c r="B7" s="957"/>
      <c r="C7" s="957"/>
    </row>
    <row r="8" spans="1:18" ht="14.4" x14ac:dyDescent="0.3">
      <c r="A8" s="739" t="s">
        <v>305</v>
      </c>
      <c r="B8" s="740"/>
      <c r="C8" s="740"/>
    </row>
    <row r="9" spans="1:18" ht="9.75" customHeight="1" x14ac:dyDescent="0.3">
      <c r="A9" s="739"/>
      <c r="B9" s="740"/>
      <c r="C9" s="740"/>
    </row>
    <row r="10" spans="1:18" ht="14.25" customHeight="1" x14ac:dyDescent="0.2">
      <c r="A10" s="735" t="s">
        <v>0</v>
      </c>
      <c r="B10" s="735"/>
      <c r="C10" s="735"/>
      <c r="D10" s="735"/>
      <c r="E10" s="735"/>
      <c r="F10" s="735"/>
      <c r="G10" s="27"/>
      <c r="H10" s="3"/>
      <c r="I10" s="3"/>
      <c r="J10" s="4"/>
      <c r="K10" s="4"/>
      <c r="L10" s="4"/>
      <c r="M10" s="4"/>
      <c r="N10" s="4"/>
      <c r="O10" s="4"/>
      <c r="P10" s="4"/>
      <c r="Q10" s="4"/>
    </row>
    <row r="11" spans="1:18" ht="20.55" customHeight="1" x14ac:dyDescent="0.2">
      <c r="A11" s="955" t="s">
        <v>400</v>
      </c>
      <c r="B11" s="955"/>
      <c r="C11" s="955"/>
      <c r="D11" s="955"/>
      <c r="E11" s="955"/>
      <c r="F11" s="955"/>
      <c r="G11" s="750"/>
      <c r="H11" s="3"/>
      <c r="I11" s="3"/>
      <c r="J11" s="4"/>
      <c r="K11" s="4"/>
      <c r="L11" s="4"/>
      <c r="M11" s="4"/>
      <c r="N11" s="4"/>
      <c r="O11" s="27"/>
      <c r="P11" s="4"/>
      <c r="Q11" s="4"/>
    </row>
    <row r="12" spans="1:18" x14ac:dyDescent="0.2">
      <c r="A12" s="3"/>
      <c r="B12" s="3"/>
      <c r="C12" s="3"/>
      <c r="D12" s="3"/>
      <c r="E12" s="3"/>
      <c r="F12" s="3"/>
      <c r="G12" s="3"/>
      <c r="H12" s="3"/>
      <c r="I12" s="3"/>
      <c r="J12" s="4"/>
      <c r="K12" s="4"/>
      <c r="L12" s="4"/>
      <c r="M12" s="4"/>
      <c r="N12" s="4"/>
      <c r="O12" s="4"/>
      <c r="P12" s="4"/>
      <c r="Q12" s="4"/>
    </row>
    <row r="13" spans="1:18" ht="80.25" customHeight="1" x14ac:dyDescent="0.2">
      <c r="A13" s="3"/>
      <c r="B13" s="3"/>
      <c r="C13" s="3"/>
      <c r="D13" s="3"/>
      <c r="E13" s="3"/>
      <c r="F13" s="3"/>
      <c r="G13" s="3"/>
      <c r="H13" s="3"/>
      <c r="I13" s="3"/>
      <c r="J13" s="4"/>
      <c r="K13" s="4"/>
      <c r="L13" s="397" t="s">
        <v>306</v>
      </c>
      <c r="M13" s="397" t="s">
        <v>307</v>
      </c>
      <c r="N13" s="397"/>
      <c r="O13" s="397" t="s">
        <v>308</v>
      </c>
      <c r="P13" s="397" t="s">
        <v>309</v>
      </c>
      <c r="Q13" s="397" t="s">
        <v>310</v>
      </c>
      <c r="R13" s="398" t="s">
        <v>128</v>
      </c>
    </row>
    <row r="14" spans="1:18" ht="17.25" customHeight="1" x14ac:dyDescent="0.2">
      <c r="A14" s="3"/>
      <c r="B14" s="3"/>
      <c r="C14" s="399"/>
      <c r="D14" s="399"/>
      <c r="E14" s="66"/>
      <c r="F14" s="397"/>
      <c r="G14" s="397"/>
      <c r="H14" s="3"/>
      <c r="I14" s="3"/>
      <c r="J14" s="4"/>
      <c r="K14" s="4"/>
      <c r="L14" s="4"/>
      <c r="M14" s="4"/>
      <c r="N14" s="4"/>
      <c r="O14" s="4"/>
      <c r="P14" s="4"/>
      <c r="Q14" s="4"/>
    </row>
    <row r="15" spans="1:18" ht="21.75" customHeight="1" thickBot="1" x14ac:dyDescent="0.45">
      <c r="A15" s="741" t="s">
        <v>401</v>
      </c>
      <c r="B15" s="795"/>
      <c r="C15" s="795"/>
      <c r="D15" s="795"/>
      <c r="E15" s="795"/>
      <c r="F15" s="795"/>
      <c r="G15" s="795"/>
      <c r="H15" s="4"/>
      <c r="I15" s="4"/>
      <c r="J15" s="4"/>
      <c r="K15" s="4"/>
      <c r="L15" s="4"/>
      <c r="M15" s="4"/>
      <c r="N15" s="4"/>
      <c r="O15" s="4"/>
      <c r="P15" s="4"/>
      <c r="Q15" s="4"/>
    </row>
    <row r="16" spans="1:18" ht="30.45" customHeight="1" thickTop="1" thickBot="1" x14ac:dyDescent="0.25">
      <c r="A16" s="26" t="s">
        <v>1</v>
      </c>
      <c r="B16" s="737" t="s">
        <v>3</v>
      </c>
      <c r="C16" s="737" t="s">
        <v>4</v>
      </c>
      <c r="D16" s="737" t="s">
        <v>5</v>
      </c>
      <c r="E16" s="737" t="s">
        <v>6</v>
      </c>
      <c r="F16" s="26" t="s">
        <v>7</v>
      </c>
      <c r="G16" s="26" t="s">
        <v>9</v>
      </c>
      <c r="H16" s="4"/>
      <c r="I16" s="4"/>
      <c r="J16" s="4"/>
      <c r="K16" s="4"/>
      <c r="L16" s="4"/>
      <c r="M16" s="4"/>
      <c r="N16" s="4"/>
      <c r="O16" s="4"/>
      <c r="P16" s="4"/>
      <c r="Q16" s="4"/>
    </row>
    <row r="17" spans="1:17" ht="30.45" customHeight="1" thickTop="1" thickBot="1" x14ac:dyDescent="0.25">
      <c r="A17" s="26" t="s">
        <v>2</v>
      </c>
      <c r="B17" s="737"/>
      <c r="C17" s="737"/>
      <c r="D17" s="737"/>
      <c r="E17" s="737"/>
      <c r="F17" s="26" t="s">
        <v>8</v>
      </c>
      <c r="G17" s="26" t="s">
        <v>8</v>
      </c>
      <c r="H17" s="4"/>
      <c r="I17" s="4"/>
      <c r="J17" s="4"/>
      <c r="K17" s="4"/>
      <c r="L17" s="4"/>
      <c r="M17" s="4"/>
      <c r="N17" s="4"/>
      <c r="O17" s="4"/>
      <c r="P17" s="4"/>
      <c r="Q17" s="4"/>
    </row>
    <row r="18" spans="1:17" ht="16.05" customHeight="1" thickTop="1" thickBot="1" x14ac:dyDescent="0.25">
      <c r="A18" s="400" t="s">
        <v>311</v>
      </c>
      <c r="B18" s="388"/>
      <c r="C18" s="388"/>
      <c r="D18" s="388"/>
      <c r="E18" s="388"/>
      <c r="F18" s="388"/>
      <c r="G18" s="389"/>
      <c r="H18" s="59">
        <f>SUM(H19:H28)</f>
        <v>0</v>
      </c>
      <c r="I18" s="4"/>
      <c r="J18" s="4"/>
      <c r="K18" s="4"/>
      <c r="L18" s="4"/>
      <c r="M18" s="4"/>
      <c r="N18" s="4"/>
      <c r="O18" s="4"/>
      <c r="P18" s="4"/>
      <c r="Q18" s="4"/>
    </row>
    <row r="19" spans="1:17" ht="16.05" customHeight="1" thickTop="1" thickBot="1" x14ac:dyDescent="0.25">
      <c r="A19" s="16"/>
      <c r="B19" s="16">
        <v>140301</v>
      </c>
      <c r="C19" s="402" t="s">
        <v>244</v>
      </c>
      <c r="D19" s="401" t="s">
        <v>10</v>
      </c>
      <c r="E19" s="705"/>
      <c r="F19" s="632">
        <v>29</v>
      </c>
      <c r="G19" s="20">
        <f t="shared" ref="G19:G28" si="0">E19*F19</f>
        <v>0</v>
      </c>
      <c r="H19" s="59">
        <f t="shared" ref="H19:H28" si="1">E19</f>
        <v>0</v>
      </c>
      <c r="I19" s="4"/>
      <c r="J19" s="4"/>
      <c r="K19" s="4"/>
      <c r="L19" s="4"/>
      <c r="M19" s="4"/>
      <c r="N19" s="4"/>
      <c r="O19" s="4"/>
      <c r="P19" s="4"/>
      <c r="Q19" s="4"/>
    </row>
    <row r="20" spans="1:17" ht="16.05" customHeight="1" thickTop="1" thickBot="1" x14ac:dyDescent="0.25">
      <c r="A20" s="16"/>
      <c r="B20" s="16">
        <v>140501</v>
      </c>
      <c r="C20" s="402" t="s">
        <v>245</v>
      </c>
      <c r="D20" s="401" t="s">
        <v>10</v>
      </c>
      <c r="E20" s="705"/>
      <c r="F20" s="632">
        <v>42</v>
      </c>
      <c r="G20" s="20">
        <f t="shared" si="0"/>
        <v>0</v>
      </c>
      <c r="H20" s="59">
        <f t="shared" si="1"/>
        <v>0</v>
      </c>
      <c r="I20" s="4"/>
      <c r="J20" s="4"/>
      <c r="K20" s="4"/>
      <c r="L20" s="4"/>
      <c r="M20" s="4"/>
      <c r="N20" s="4"/>
      <c r="O20" s="4"/>
      <c r="P20" s="4"/>
      <c r="Q20" s="4"/>
    </row>
    <row r="21" spans="1:17" ht="16.05" customHeight="1" thickTop="1" thickBot="1" x14ac:dyDescent="0.25">
      <c r="A21" s="16"/>
      <c r="B21" s="16">
        <v>141001</v>
      </c>
      <c r="C21" s="402" t="s">
        <v>246</v>
      </c>
      <c r="D21" s="401" t="s">
        <v>10</v>
      </c>
      <c r="E21" s="705"/>
      <c r="F21" s="632">
        <v>85</v>
      </c>
      <c r="G21" s="20">
        <f t="shared" si="0"/>
        <v>0</v>
      </c>
      <c r="H21" s="59">
        <f t="shared" si="1"/>
        <v>0</v>
      </c>
      <c r="I21" s="4"/>
      <c r="J21" s="4"/>
      <c r="K21" s="4"/>
      <c r="L21" s="4"/>
      <c r="M21" s="4"/>
      <c r="N21" s="4"/>
      <c r="O21" s="4"/>
      <c r="P21" s="4"/>
      <c r="Q21" s="4"/>
    </row>
    <row r="22" spans="1:17" ht="16.05" customHeight="1" thickTop="1" thickBot="1" x14ac:dyDescent="0.25">
      <c r="A22" s="16"/>
      <c r="B22" s="16">
        <v>141201</v>
      </c>
      <c r="C22" s="402" t="s">
        <v>248</v>
      </c>
      <c r="D22" s="401" t="s">
        <v>10</v>
      </c>
      <c r="E22" s="705"/>
      <c r="F22" s="632">
        <v>104</v>
      </c>
      <c r="G22" s="20">
        <f t="shared" si="0"/>
        <v>0</v>
      </c>
      <c r="H22" s="59">
        <f t="shared" si="1"/>
        <v>0</v>
      </c>
      <c r="I22" s="4"/>
      <c r="J22" s="4"/>
      <c r="K22" s="4"/>
      <c r="L22" s="4"/>
      <c r="M22" s="4"/>
      <c r="N22" s="4"/>
      <c r="O22" s="4"/>
      <c r="P22" s="4"/>
      <c r="Q22" s="4"/>
    </row>
    <row r="23" spans="1:17" ht="16.05" customHeight="1" thickTop="1" thickBot="1" x14ac:dyDescent="0.25">
      <c r="A23" s="16"/>
      <c r="B23" s="16">
        <v>141601</v>
      </c>
      <c r="C23" s="402" t="s">
        <v>247</v>
      </c>
      <c r="D23" s="401" t="s">
        <v>10</v>
      </c>
      <c r="E23" s="705"/>
      <c r="F23" s="633">
        <v>145</v>
      </c>
      <c r="G23" s="20">
        <f t="shared" si="0"/>
        <v>0</v>
      </c>
      <c r="H23" s="59">
        <f t="shared" si="1"/>
        <v>0</v>
      </c>
      <c r="L23" s="4"/>
    </row>
    <row r="24" spans="1:17" ht="16.05" customHeight="1" thickTop="1" thickBot="1" x14ac:dyDescent="0.25">
      <c r="A24" s="16"/>
      <c r="B24" s="16">
        <v>141801</v>
      </c>
      <c r="C24" s="402" t="s">
        <v>253</v>
      </c>
      <c r="D24" s="401" t="s">
        <v>10</v>
      </c>
      <c r="E24" s="705"/>
      <c r="F24" s="633">
        <v>163</v>
      </c>
      <c r="G24" s="20">
        <f t="shared" si="0"/>
        <v>0</v>
      </c>
      <c r="H24" s="59">
        <f t="shared" si="1"/>
        <v>0</v>
      </c>
      <c r="L24" s="4"/>
    </row>
    <row r="25" spans="1:17" ht="16.05" customHeight="1" thickTop="1" thickBot="1" x14ac:dyDescent="0.25">
      <c r="A25" s="16"/>
      <c r="B25" s="16">
        <v>142001</v>
      </c>
      <c r="C25" s="402" t="s">
        <v>252</v>
      </c>
      <c r="D25" s="401" t="s">
        <v>10</v>
      </c>
      <c r="E25" s="705"/>
      <c r="F25" s="633">
        <v>182</v>
      </c>
      <c r="G25" s="20">
        <f t="shared" si="0"/>
        <v>0</v>
      </c>
      <c r="H25" s="59">
        <f t="shared" si="1"/>
        <v>0</v>
      </c>
      <c r="L25" s="4"/>
    </row>
    <row r="26" spans="1:17" ht="16.05" customHeight="1" thickTop="1" thickBot="1" x14ac:dyDescent="0.25">
      <c r="A26" s="16"/>
      <c r="B26" s="16">
        <v>142401</v>
      </c>
      <c r="C26" s="402" t="s">
        <v>251</v>
      </c>
      <c r="D26" s="401" t="s">
        <v>10</v>
      </c>
      <c r="E26" s="705"/>
      <c r="F26" s="633">
        <v>222</v>
      </c>
      <c r="G26" s="20">
        <f t="shared" si="0"/>
        <v>0</v>
      </c>
      <c r="H26" s="59">
        <f t="shared" si="1"/>
        <v>0</v>
      </c>
      <c r="L26" s="4"/>
    </row>
    <row r="27" spans="1:17" ht="16.05" customHeight="1" thickTop="1" thickBot="1" x14ac:dyDescent="0.25">
      <c r="A27" s="16"/>
      <c r="B27" s="16">
        <v>142801</v>
      </c>
      <c r="C27" s="402" t="s">
        <v>250</v>
      </c>
      <c r="D27" s="401" t="s">
        <v>10</v>
      </c>
      <c r="E27" s="705"/>
      <c r="F27" s="633">
        <v>265</v>
      </c>
      <c r="G27" s="20">
        <f t="shared" si="0"/>
        <v>0</v>
      </c>
      <c r="H27" s="59">
        <f t="shared" si="1"/>
        <v>0</v>
      </c>
      <c r="L27" s="4"/>
    </row>
    <row r="28" spans="1:17" ht="16.05" customHeight="1" thickTop="1" thickBot="1" x14ac:dyDescent="0.25">
      <c r="A28" s="16"/>
      <c r="B28" s="16">
        <v>143201</v>
      </c>
      <c r="C28" s="402" t="s">
        <v>249</v>
      </c>
      <c r="D28" s="401" t="s">
        <v>10</v>
      </c>
      <c r="E28" s="705"/>
      <c r="F28" s="633">
        <v>313</v>
      </c>
      <c r="G28" s="20">
        <f t="shared" si="0"/>
        <v>0</v>
      </c>
      <c r="H28" s="59">
        <f t="shared" si="1"/>
        <v>0</v>
      </c>
      <c r="L28" s="4"/>
    </row>
    <row r="29" spans="1:17" ht="16.05" customHeight="1" thickTop="1" thickBot="1" x14ac:dyDescent="0.25">
      <c r="A29" s="400" t="s">
        <v>312</v>
      </c>
      <c r="B29" s="388"/>
      <c r="C29" s="388"/>
      <c r="D29" s="388"/>
      <c r="E29" s="388"/>
      <c r="F29" s="636"/>
      <c r="G29" s="389"/>
      <c r="H29" s="59">
        <f>SUM(H30:H40)</f>
        <v>0</v>
      </c>
      <c r="I29" s="4"/>
      <c r="J29" s="4"/>
      <c r="K29" s="4"/>
      <c r="L29" s="4"/>
      <c r="M29" s="4"/>
      <c r="N29" s="4"/>
      <c r="O29" s="4"/>
      <c r="P29" s="4"/>
      <c r="Q29" s="4"/>
    </row>
    <row r="30" spans="1:17" ht="16.05" customHeight="1" thickTop="1" thickBot="1" x14ac:dyDescent="0.25">
      <c r="A30" s="16"/>
      <c r="B30" s="401">
        <v>120300</v>
      </c>
      <c r="C30" s="402" t="s">
        <v>198</v>
      </c>
      <c r="D30" s="401" t="s">
        <v>10</v>
      </c>
      <c r="E30" s="401"/>
      <c r="F30" s="633">
        <v>44</v>
      </c>
      <c r="G30" s="20">
        <f t="shared" ref="G30:G40" si="2">E30*F30</f>
        <v>0</v>
      </c>
      <c r="H30" s="59">
        <f t="shared" ref="H30:H51" si="3">E30</f>
        <v>0</v>
      </c>
      <c r="L30" s="4"/>
    </row>
    <row r="31" spans="1:17" ht="16.05" customHeight="1" thickTop="1" thickBot="1" x14ac:dyDescent="0.25">
      <c r="A31" s="16"/>
      <c r="B31" s="401">
        <v>120500</v>
      </c>
      <c r="C31" s="402" t="s">
        <v>199</v>
      </c>
      <c r="D31" s="401" t="s">
        <v>10</v>
      </c>
      <c r="E31" s="401"/>
      <c r="F31" s="633">
        <v>65</v>
      </c>
      <c r="G31" s="20">
        <f t="shared" si="2"/>
        <v>0</v>
      </c>
      <c r="H31" s="59">
        <f t="shared" si="3"/>
        <v>0</v>
      </c>
      <c r="L31" s="4"/>
    </row>
    <row r="32" spans="1:17" ht="16.05" customHeight="1" thickTop="1" thickBot="1" x14ac:dyDescent="0.25">
      <c r="A32" s="16"/>
      <c r="B32" s="401">
        <v>120700</v>
      </c>
      <c r="C32" s="402" t="s">
        <v>200</v>
      </c>
      <c r="D32" s="401" t="s">
        <v>10</v>
      </c>
      <c r="E32" s="401"/>
      <c r="F32" s="633">
        <v>79</v>
      </c>
      <c r="G32" s="20">
        <f t="shared" si="2"/>
        <v>0</v>
      </c>
      <c r="H32" s="59">
        <f t="shared" si="3"/>
        <v>0</v>
      </c>
      <c r="L32" s="4"/>
    </row>
    <row r="33" spans="1:22" ht="16.05" customHeight="1" thickTop="1" thickBot="1" x14ac:dyDescent="0.25">
      <c r="A33" s="16"/>
      <c r="B33" s="401">
        <v>121000</v>
      </c>
      <c r="C33" s="402" t="s">
        <v>201</v>
      </c>
      <c r="D33" s="401" t="s">
        <v>10</v>
      </c>
      <c r="E33" s="401"/>
      <c r="F33" s="633">
        <v>112</v>
      </c>
      <c r="G33" s="20">
        <f t="shared" si="2"/>
        <v>0</v>
      </c>
      <c r="H33" s="59">
        <f t="shared" si="3"/>
        <v>0</v>
      </c>
      <c r="L33" s="4"/>
    </row>
    <row r="34" spans="1:22" ht="16.05" customHeight="1" thickTop="1" thickBot="1" x14ac:dyDescent="0.25">
      <c r="A34" s="16"/>
      <c r="B34" s="401">
        <v>121250</v>
      </c>
      <c r="C34" s="402" t="s">
        <v>202</v>
      </c>
      <c r="D34" s="401" t="s">
        <v>10</v>
      </c>
      <c r="E34" s="401"/>
      <c r="F34" s="633">
        <v>141</v>
      </c>
      <c r="G34" s="20">
        <f t="shared" si="2"/>
        <v>0</v>
      </c>
      <c r="H34" s="59">
        <f t="shared" si="3"/>
        <v>0</v>
      </c>
      <c r="L34" s="4"/>
      <c r="M34" s="403"/>
    </row>
    <row r="35" spans="1:22" ht="16.05" customHeight="1" thickTop="1" thickBot="1" x14ac:dyDescent="0.25">
      <c r="A35" s="16"/>
      <c r="B35" s="401">
        <v>121501</v>
      </c>
      <c r="C35" s="402" t="s">
        <v>203</v>
      </c>
      <c r="D35" s="401" t="s">
        <v>10</v>
      </c>
      <c r="E35" s="401"/>
      <c r="F35" s="633">
        <v>176</v>
      </c>
      <c r="G35" s="20">
        <f t="shared" si="2"/>
        <v>0</v>
      </c>
      <c r="H35" s="59">
        <f t="shared" si="3"/>
        <v>0</v>
      </c>
      <c r="L35" s="4"/>
    </row>
    <row r="36" spans="1:22" ht="16.05" customHeight="1" thickTop="1" thickBot="1" x14ac:dyDescent="0.25">
      <c r="A36" s="16"/>
      <c r="B36" s="401">
        <v>121700</v>
      </c>
      <c r="C36" s="402" t="s">
        <v>204</v>
      </c>
      <c r="D36" s="401" t="s">
        <v>10</v>
      </c>
      <c r="E36" s="401"/>
      <c r="F36" s="633">
        <v>187</v>
      </c>
      <c r="G36" s="20">
        <f t="shared" si="2"/>
        <v>0</v>
      </c>
      <c r="H36" s="59">
        <f t="shared" si="3"/>
        <v>0</v>
      </c>
      <c r="L36" s="4"/>
    </row>
    <row r="37" spans="1:22" ht="16.05" customHeight="1" thickTop="1" thickBot="1" x14ac:dyDescent="0.25">
      <c r="A37" s="16"/>
      <c r="B37" s="401">
        <v>122100</v>
      </c>
      <c r="C37" s="402" t="s">
        <v>205</v>
      </c>
      <c r="D37" s="401" t="s">
        <v>10</v>
      </c>
      <c r="E37" s="401"/>
      <c r="F37" s="633">
        <v>233</v>
      </c>
      <c r="G37" s="20">
        <f t="shared" si="2"/>
        <v>0</v>
      </c>
      <c r="H37" s="59">
        <f t="shared" si="3"/>
        <v>0</v>
      </c>
      <c r="L37" s="4"/>
    </row>
    <row r="38" spans="1:22" ht="16.05" customHeight="1" thickTop="1" thickBot="1" x14ac:dyDescent="0.25">
      <c r="A38" s="16"/>
      <c r="B38" s="401">
        <v>122600</v>
      </c>
      <c r="C38" s="402" t="s">
        <v>206</v>
      </c>
      <c r="D38" s="401" t="s">
        <v>10</v>
      </c>
      <c r="E38" s="401"/>
      <c r="F38" s="633">
        <v>280</v>
      </c>
      <c r="G38" s="20">
        <f t="shared" si="2"/>
        <v>0</v>
      </c>
      <c r="H38" s="59">
        <f t="shared" si="3"/>
        <v>0</v>
      </c>
      <c r="L38" s="4"/>
    </row>
    <row r="39" spans="1:22" ht="16.05" customHeight="1" thickTop="1" thickBot="1" x14ac:dyDescent="0.25">
      <c r="A39" s="16"/>
      <c r="B39" s="401">
        <v>122900</v>
      </c>
      <c r="C39" s="402" t="s">
        <v>207</v>
      </c>
      <c r="D39" s="401" t="s">
        <v>10</v>
      </c>
      <c r="E39" s="401"/>
      <c r="F39" s="633">
        <v>310</v>
      </c>
      <c r="G39" s="20">
        <f t="shared" si="2"/>
        <v>0</v>
      </c>
      <c r="H39" s="59">
        <f t="shared" si="3"/>
        <v>0</v>
      </c>
      <c r="L39" s="4"/>
    </row>
    <row r="40" spans="1:22" ht="16.05" customHeight="1" thickTop="1" thickBot="1" x14ac:dyDescent="0.25">
      <c r="A40" s="34"/>
      <c r="B40" s="404">
        <v>123200</v>
      </c>
      <c r="C40" s="405" t="s">
        <v>208</v>
      </c>
      <c r="D40" s="404" t="s">
        <v>10</v>
      </c>
      <c r="E40" s="404"/>
      <c r="F40" s="633">
        <v>355</v>
      </c>
      <c r="G40" s="37">
        <f t="shared" si="2"/>
        <v>0</v>
      </c>
      <c r="H40" s="59">
        <f t="shared" si="3"/>
        <v>0</v>
      </c>
      <c r="L40" s="4"/>
    </row>
    <row r="41" spans="1:22" ht="16.05" customHeight="1" thickTop="1" thickBot="1" x14ac:dyDescent="0.25">
      <c r="A41" s="400" t="s">
        <v>313</v>
      </c>
      <c r="B41" s="388"/>
      <c r="C41" s="388"/>
      <c r="D41" s="388"/>
      <c r="E41" s="388"/>
      <c r="F41" s="636"/>
      <c r="G41" s="389"/>
      <c r="H41" s="59">
        <f>SUM(H42:H51)</f>
        <v>0</v>
      </c>
      <c r="L41" s="4"/>
    </row>
    <row r="42" spans="1:22" ht="16.05" customHeight="1" thickTop="1" thickBot="1" x14ac:dyDescent="0.25">
      <c r="A42" s="34"/>
      <c r="B42" s="406">
        <v>120107</v>
      </c>
      <c r="C42" s="407" t="s">
        <v>211</v>
      </c>
      <c r="D42" s="401" t="s">
        <v>10</v>
      </c>
      <c r="E42" s="404"/>
      <c r="F42" s="633">
        <v>34</v>
      </c>
      <c r="G42" s="37">
        <f t="shared" ref="G42:G51" si="4">E42*F42</f>
        <v>0</v>
      </c>
      <c r="H42" s="59">
        <f t="shared" si="3"/>
        <v>0</v>
      </c>
      <c r="L42" s="4"/>
    </row>
    <row r="43" spans="1:22" ht="16.05" customHeight="1" thickTop="1" thickBot="1" x14ac:dyDescent="0.25">
      <c r="A43" s="34"/>
      <c r="B43" s="406">
        <v>120207</v>
      </c>
      <c r="C43" s="407" t="s">
        <v>212</v>
      </c>
      <c r="D43" s="401" t="s">
        <v>10</v>
      </c>
      <c r="E43" s="404"/>
      <c r="F43" s="633">
        <v>48</v>
      </c>
      <c r="G43" s="37">
        <f t="shared" si="4"/>
        <v>0</v>
      </c>
      <c r="H43" s="59">
        <f t="shared" si="3"/>
        <v>0</v>
      </c>
      <c r="L43" s="4"/>
    </row>
    <row r="44" spans="1:22" ht="16.05" customHeight="1" thickTop="1" thickBot="1" x14ac:dyDescent="0.25">
      <c r="A44" s="34"/>
      <c r="B44" s="406">
        <v>120307</v>
      </c>
      <c r="C44" s="407" t="s">
        <v>213</v>
      </c>
      <c r="D44" s="401" t="s">
        <v>10</v>
      </c>
      <c r="E44" s="404"/>
      <c r="F44" s="633">
        <v>64</v>
      </c>
      <c r="G44" s="37">
        <f t="shared" si="4"/>
        <v>0</v>
      </c>
      <c r="H44" s="59">
        <f t="shared" si="3"/>
        <v>0</v>
      </c>
      <c r="L44" s="4"/>
    </row>
    <row r="45" spans="1:22" ht="16.05" customHeight="1" thickTop="1" thickBot="1" x14ac:dyDescent="0.25">
      <c r="A45" s="34"/>
      <c r="B45" s="406">
        <v>120407</v>
      </c>
      <c r="C45" s="407" t="s">
        <v>214</v>
      </c>
      <c r="D45" s="401" t="s">
        <v>10</v>
      </c>
      <c r="E45" s="404"/>
      <c r="F45" s="633">
        <v>79</v>
      </c>
      <c r="G45" s="37">
        <f t="shared" si="4"/>
        <v>0</v>
      </c>
      <c r="H45" s="59">
        <f t="shared" si="3"/>
        <v>0</v>
      </c>
      <c r="L45" s="4"/>
    </row>
    <row r="46" spans="1:22" ht="16.05" customHeight="1" thickTop="1" thickBot="1" x14ac:dyDescent="0.25">
      <c r="A46" s="34"/>
      <c r="B46" s="406">
        <v>120607</v>
      </c>
      <c r="C46" s="407" t="s">
        <v>215</v>
      </c>
      <c r="D46" s="401" t="s">
        <v>10</v>
      </c>
      <c r="E46" s="404"/>
      <c r="F46" s="633">
        <v>114</v>
      </c>
      <c r="G46" s="37">
        <f t="shared" si="4"/>
        <v>0</v>
      </c>
      <c r="H46" s="59">
        <f t="shared" si="3"/>
        <v>0</v>
      </c>
      <c r="L46" s="4"/>
    </row>
    <row r="47" spans="1:22" ht="16.05" customHeight="1" thickTop="1" thickBot="1" x14ac:dyDescent="0.25">
      <c r="A47" s="34"/>
      <c r="B47" s="406">
        <v>120807</v>
      </c>
      <c r="C47" s="407" t="s">
        <v>216</v>
      </c>
      <c r="D47" s="401" t="s">
        <v>10</v>
      </c>
      <c r="E47" s="404"/>
      <c r="F47" s="633">
        <v>149</v>
      </c>
      <c r="G47" s="37">
        <f t="shared" si="4"/>
        <v>0</v>
      </c>
      <c r="H47" s="59">
        <f t="shared" si="3"/>
        <v>0</v>
      </c>
      <c r="L47" s="4"/>
    </row>
    <row r="48" spans="1:22" ht="16.05" customHeight="1" thickTop="1" thickBot="1" x14ac:dyDescent="0.25">
      <c r="A48" s="34"/>
      <c r="B48" s="406">
        <v>121007</v>
      </c>
      <c r="C48" s="407" t="s">
        <v>217</v>
      </c>
      <c r="D48" s="401" t="s">
        <v>10</v>
      </c>
      <c r="E48" s="404"/>
      <c r="F48" s="633">
        <v>181</v>
      </c>
      <c r="G48" s="37">
        <f t="shared" si="4"/>
        <v>0</v>
      </c>
      <c r="H48" s="59">
        <f t="shared" si="3"/>
        <v>0</v>
      </c>
      <c r="L48" s="4"/>
      <c r="P48" s="68"/>
      <c r="V48" s="68"/>
    </row>
    <row r="49" spans="1:14" ht="16.05" customHeight="1" thickTop="1" thickBot="1" x14ac:dyDescent="0.25">
      <c r="A49" s="34"/>
      <c r="B49" s="406">
        <v>121207</v>
      </c>
      <c r="C49" s="407" t="s">
        <v>218</v>
      </c>
      <c r="D49" s="401" t="s">
        <v>10</v>
      </c>
      <c r="E49" s="404"/>
      <c r="F49" s="633">
        <v>233</v>
      </c>
      <c r="G49" s="37">
        <f t="shared" si="4"/>
        <v>0</v>
      </c>
      <c r="H49" s="59">
        <f t="shared" si="3"/>
        <v>0</v>
      </c>
      <c r="L49" s="4"/>
    </row>
    <row r="50" spans="1:14" ht="16.05" customHeight="1" thickTop="1" thickBot="1" x14ac:dyDescent="0.25">
      <c r="A50" s="34"/>
      <c r="B50" s="406">
        <v>121507</v>
      </c>
      <c r="C50" s="407" t="s">
        <v>219</v>
      </c>
      <c r="D50" s="401" t="s">
        <v>10</v>
      </c>
      <c r="E50" s="404"/>
      <c r="F50" s="633">
        <v>277</v>
      </c>
      <c r="G50" s="37">
        <f t="shared" si="4"/>
        <v>0</v>
      </c>
      <c r="H50" s="59">
        <f t="shared" si="3"/>
        <v>0</v>
      </c>
      <c r="L50" s="4"/>
    </row>
    <row r="51" spans="1:14" ht="16.05" customHeight="1" thickTop="1" thickBot="1" x14ac:dyDescent="0.25">
      <c r="A51" s="34"/>
      <c r="B51" s="406">
        <v>121907</v>
      </c>
      <c r="C51" s="407" t="s">
        <v>220</v>
      </c>
      <c r="D51" s="401" t="s">
        <v>10</v>
      </c>
      <c r="E51" s="404"/>
      <c r="F51" s="633">
        <v>339</v>
      </c>
      <c r="G51" s="37">
        <f t="shared" si="4"/>
        <v>0</v>
      </c>
      <c r="H51" s="59">
        <f t="shared" si="3"/>
        <v>0</v>
      </c>
      <c r="L51" s="4"/>
    </row>
    <row r="52" spans="1:14" ht="16.05" customHeight="1" thickTop="1" thickBot="1" x14ac:dyDescent="0.25">
      <c r="A52" s="408" t="s">
        <v>314</v>
      </c>
      <c r="B52" s="388"/>
      <c r="C52" s="388"/>
      <c r="D52" s="388"/>
      <c r="E52" s="388"/>
      <c r="F52" s="636"/>
      <c r="G52" s="479"/>
      <c r="H52" s="59">
        <f>H53</f>
        <v>0</v>
      </c>
      <c r="L52" s="4"/>
    </row>
    <row r="53" spans="1:14" ht="16.05" customHeight="1" thickTop="1" thickBot="1" x14ac:dyDescent="0.25">
      <c r="A53" s="16"/>
      <c r="B53" s="409">
        <v>360120</v>
      </c>
      <c r="C53" s="410" t="s">
        <v>315</v>
      </c>
      <c r="D53" s="411" t="s">
        <v>393</v>
      </c>
      <c r="E53" s="411"/>
      <c r="F53" s="612">
        <v>15</v>
      </c>
      <c r="G53" s="20">
        <f>E53*F53</f>
        <v>0</v>
      </c>
      <c r="H53" s="59">
        <f>E53</f>
        <v>0</v>
      </c>
      <c r="L53" s="4"/>
    </row>
    <row r="54" spans="1:14" ht="16.05" customHeight="1" thickTop="1" thickBot="1" x14ac:dyDescent="0.35">
      <c r="A54" s="408" t="s">
        <v>316</v>
      </c>
      <c r="B54" s="412"/>
      <c r="C54" s="412"/>
      <c r="D54" s="412"/>
      <c r="E54" s="706"/>
      <c r="F54" s="637"/>
      <c r="G54" s="480"/>
      <c r="H54" s="59">
        <f>H55</f>
        <v>0</v>
      </c>
      <c r="I54" s="4"/>
      <c r="J54" s="4"/>
      <c r="K54" s="4"/>
      <c r="L54" s="4"/>
      <c r="M54" s="4"/>
      <c r="N54" s="4"/>
    </row>
    <row r="55" spans="1:14" ht="16.05" customHeight="1" thickTop="1" thickBot="1" x14ac:dyDescent="0.25">
      <c r="A55" s="16"/>
      <c r="B55" s="409">
        <v>360140</v>
      </c>
      <c r="C55" s="410" t="s">
        <v>317</v>
      </c>
      <c r="D55" s="411" t="s">
        <v>318</v>
      </c>
      <c r="E55" s="707"/>
      <c r="F55" s="632">
        <v>15</v>
      </c>
      <c r="G55" s="20">
        <f>E55*F55</f>
        <v>0</v>
      </c>
      <c r="H55" s="59">
        <f>E55</f>
        <v>0</v>
      </c>
      <c r="I55" s="4"/>
      <c r="J55" s="4"/>
      <c r="K55" s="4"/>
      <c r="L55" s="4"/>
      <c r="M55" s="4"/>
      <c r="N55" s="4"/>
    </row>
    <row r="56" spans="1:14" ht="16.05" customHeight="1" thickTop="1" thickBot="1" x14ac:dyDescent="0.25">
      <c r="A56" s="16"/>
      <c r="B56" s="409">
        <v>720815</v>
      </c>
      <c r="C56" s="410" t="s">
        <v>319</v>
      </c>
      <c r="D56" s="411" t="s">
        <v>138</v>
      </c>
      <c r="E56" s="411"/>
      <c r="F56" s="633">
        <v>32</v>
      </c>
      <c r="G56" s="20">
        <f>E56*F56</f>
        <v>0</v>
      </c>
      <c r="H56" s="59">
        <f>E56</f>
        <v>0</v>
      </c>
      <c r="L56" s="4"/>
    </row>
    <row r="57" spans="1:14" ht="16.05" customHeight="1" thickTop="1" thickBot="1" x14ac:dyDescent="0.25">
      <c r="A57" s="16"/>
      <c r="B57" s="409">
        <v>720810</v>
      </c>
      <c r="C57" s="410" t="s">
        <v>320</v>
      </c>
      <c r="D57" s="411" t="s">
        <v>10</v>
      </c>
      <c r="E57" s="411"/>
      <c r="F57" s="633">
        <v>16</v>
      </c>
      <c r="G57" s="20">
        <f>E57*F57</f>
        <v>0</v>
      </c>
      <c r="H57" s="59">
        <f>E57</f>
        <v>0</v>
      </c>
      <c r="L57" s="4"/>
    </row>
    <row r="58" spans="1:14" ht="16.05" customHeight="1" thickTop="1" thickBot="1" x14ac:dyDescent="0.25">
      <c r="A58" s="413" t="s">
        <v>321</v>
      </c>
      <c r="B58" s="414"/>
      <c r="C58" s="414"/>
      <c r="D58" s="414"/>
      <c r="E58" s="414"/>
      <c r="F58" s="637"/>
      <c r="G58" s="415"/>
      <c r="H58" s="416">
        <f>SUM(H59:H75)</f>
        <v>0</v>
      </c>
      <c r="L58" s="4"/>
    </row>
    <row r="59" spans="1:14" ht="16.05" customHeight="1" thickTop="1" thickBot="1" x14ac:dyDescent="0.25">
      <c r="A59" s="16"/>
      <c r="B59" s="417">
        <v>250201</v>
      </c>
      <c r="C59" s="418" t="s">
        <v>322</v>
      </c>
      <c r="D59" s="419" t="s">
        <v>10</v>
      </c>
      <c r="E59" s="419"/>
      <c r="F59" s="633">
        <v>33</v>
      </c>
      <c r="G59" s="20">
        <f>E59*F59</f>
        <v>0</v>
      </c>
      <c r="H59" s="46">
        <f>E59</f>
        <v>0</v>
      </c>
      <c r="L59" s="4"/>
    </row>
    <row r="60" spans="1:14" ht="16.05" customHeight="1" thickTop="1" thickBot="1" x14ac:dyDescent="0.25">
      <c r="A60" s="16"/>
      <c r="B60" s="417">
        <v>250301</v>
      </c>
      <c r="C60" s="418" t="s">
        <v>323</v>
      </c>
      <c r="D60" s="419" t="s">
        <v>10</v>
      </c>
      <c r="E60" s="419"/>
      <c r="F60" s="633">
        <v>41</v>
      </c>
      <c r="G60" s="20">
        <f t="shared" ref="G60:G75" si="5">E60*F60</f>
        <v>0</v>
      </c>
      <c r="H60" s="46">
        <f t="shared" ref="H60:H75" si="6">E60</f>
        <v>0</v>
      </c>
      <c r="L60" s="4"/>
    </row>
    <row r="61" spans="1:14" ht="16.05" customHeight="1" thickTop="1" thickBot="1" x14ac:dyDescent="0.25">
      <c r="A61" s="16"/>
      <c r="B61" s="417">
        <v>250401</v>
      </c>
      <c r="C61" s="418" t="s">
        <v>324</v>
      </c>
      <c r="D61" s="419" t="s">
        <v>10</v>
      </c>
      <c r="E61" s="419"/>
      <c r="F61" s="633">
        <v>49</v>
      </c>
      <c r="G61" s="20">
        <f t="shared" si="5"/>
        <v>0</v>
      </c>
      <c r="H61" s="46">
        <f t="shared" si="6"/>
        <v>0</v>
      </c>
      <c r="L61" s="4"/>
    </row>
    <row r="62" spans="1:14" ht="16.05" customHeight="1" thickTop="1" thickBot="1" x14ac:dyDescent="0.25">
      <c r="A62" s="16"/>
      <c r="B62" s="417">
        <v>250501</v>
      </c>
      <c r="C62" s="418" t="s">
        <v>325</v>
      </c>
      <c r="D62" s="419" t="s">
        <v>10</v>
      </c>
      <c r="E62" s="419"/>
      <c r="F62" s="633">
        <v>56</v>
      </c>
      <c r="G62" s="20">
        <f t="shared" si="5"/>
        <v>0</v>
      </c>
      <c r="H62" s="46">
        <f t="shared" si="6"/>
        <v>0</v>
      </c>
      <c r="L62" s="4"/>
    </row>
    <row r="63" spans="1:14" ht="16.05" customHeight="1" thickTop="1" thickBot="1" x14ac:dyDescent="0.25">
      <c r="A63" s="16"/>
      <c r="B63" s="417">
        <v>250601</v>
      </c>
      <c r="C63" s="418" t="s">
        <v>326</v>
      </c>
      <c r="D63" s="419" t="s">
        <v>10</v>
      </c>
      <c r="E63" s="419"/>
      <c r="F63" s="633">
        <v>64</v>
      </c>
      <c r="G63" s="20">
        <f t="shared" si="5"/>
        <v>0</v>
      </c>
      <c r="H63" s="46">
        <f t="shared" si="6"/>
        <v>0</v>
      </c>
      <c r="L63" s="4"/>
    </row>
    <row r="64" spans="1:14" ht="16.05" customHeight="1" thickTop="1" thickBot="1" x14ac:dyDescent="0.25">
      <c r="A64" s="16"/>
      <c r="B64" s="417">
        <v>250701</v>
      </c>
      <c r="C64" s="418" t="s">
        <v>327</v>
      </c>
      <c r="D64" s="419" t="s">
        <v>10</v>
      </c>
      <c r="E64" s="419"/>
      <c r="F64" s="633">
        <v>73</v>
      </c>
      <c r="G64" s="20">
        <f t="shared" si="5"/>
        <v>0</v>
      </c>
      <c r="H64" s="46">
        <f t="shared" si="6"/>
        <v>0</v>
      </c>
      <c r="L64" s="4"/>
    </row>
    <row r="65" spans="1:15" ht="16.05" customHeight="1" thickTop="1" thickBot="1" x14ac:dyDescent="0.25">
      <c r="A65" s="16"/>
      <c r="B65" s="417">
        <v>250801</v>
      </c>
      <c r="C65" s="418" t="s">
        <v>328</v>
      </c>
      <c r="D65" s="419" t="s">
        <v>10</v>
      </c>
      <c r="E65" s="419"/>
      <c r="F65" s="633">
        <v>82</v>
      </c>
      <c r="G65" s="20">
        <f t="shared" si="5"/>
        <v>0</v>
      </c>
      <c r="H65" s="46">
        <f t="shared" si="6"/>
        <v>0</v>
      </c>
      <c r="L65" s="4"/>
    </row>
    <row r="66" spans="1:15" ht="16.05" customHeight="1" thickTop="1" thickBot="1" x14ac:dyDescent="0.25">
      <c r="A66" s="16"/>
      <c r="B66" s="417">
        <v>250901</v>
      </c>
      <c r="C66" s="418" t="s">
        <v>329</v>
      </c>
      <c r="D66" s="419" t="s">
        <v>10</v>
      </c>
      <c r="E66" s="419"/>
      <c r="F66" s="633">
        <v>88</v>
      </c>
      <c r="G66" s="20">
        <f t="shared" si="5"/>
        <v>0</v>
      </c>
      <c r="H66" s="46">
        <f t="shared" si="6"/>
        <v>0</v>
      </c>
      <c r="L66" s="4"/>
    </row>
    <row r="67" spans="1:15" ht="16.05" customHeight="1" thickTop="1" thickBot="1" x14ac:dyDescent="0.25">
      <c r="A67" s="16"/>
      <c r="B67" s="417">
        <v>251001</v>
      </c>
      <c r="C67" s="418" t="s">
        <v>330</v>
      </c>
      <c r="D67" s="419" t="s">
        <v>10</v>
      </c>
      <c r="E67" s="419"/>
      <c r="F67" s="633">
        <v>94</v>
      </c>
      <c r="G67" s="20">
        <f t="shared" si="5"/>
        <v>0</v>
      </c>
      <c r="H67" s="46">
        <f t="shared" si="6"/>
        <v>0</v>
      </c>
      <c r="L67" s="4"/>
    </row>
    <row r="68" spans="1:15" ht="16.05" customHeight="1" thickTop="1" thickBot="1" x14ac:dyDescent="0.25">
      <c r="A68" s="16"/>
      <c r="B68" s="417">
        <v>251201</v>
      </c>
      <c r="C68" s="418" t="s">
        <v>331</v>
      </c>
      <c r="D68" s="419" t="s">
        <v>10</v>
      </c>
      <c r="E68" s="419"/>
      <c r="F68" s="633">
        <v>117</v>
      </c>
      <c r="G68" s="20">
        <f t="shared" si="5"/>
        <v>0</v>
      </c>
      <c r="H68" s="46">
        <f t="shared" si="6"/>
        <v>0</v>
      </c>
      <c r="L68" s="4"/>
    </row>
    <row r="69" spans="1:15" ht="16.05" customHeight="1" thickTop="1" thickBot="1" x14ac:dyDescent="0.25">
      <c r="A69" s="16"/>
      <c r="B69" s="417">
        <v>251401</v>
      </c>
      <c r="C69" s="418" t="s">
        <v>332</v>
      </c>
      <c r="D69" s="419" t="s">
        <v>10</v>
      </c>
      <c r="E69" s="419"/>
      <c r="F69" s="633">
        <v>130</v>
      </c>
      <c r="G69" s="20">
        <f t="shared" si="5"/>
        <v>0</v>
      </c>
      <c r="H69" s="46">
        <f t="shared" si="6"/>
        <v>0</v>
      </c>
      <c r="L69" s="4"/>
    </row>
    <row r="70" spans="1:15" ht="16.05" customHeight="1" thickTop="1" thickBot="1" x14ac:dyDescent="0.25">
      <c r="A70" s="16"/>
      <c r="B70" s="417">
        <v>251601</v>
      </c>
      <c r="C70" s="418" t="s">
        <v>333</v>
      </c>
      <c r="D70" s="419" t="s">
        <v>10</v>
      </c>
      <c r="E70" s="419"/>
      <c r="F70" s="633">
        <v>157</v>
      </c>
      <c r="G70" s="20">
        <f t="shared" si="5"/>
        <v>0</v>
      </c>
      <c r="H70" s="46">
        <f t="shared" si="6"/>
        <v>0</v>
      </c>
      <c r="L70" s="4"/>
    </row>
    <row r="71" spans="1:15" ht="16.05" customHeight="1" thickTop="1" thickBot="1" x14ac:dyDescent="0.25">
      <c r="A71" s="16"/>
      <c r="B71" s="417">
        <v>251801</v>
      </c>
      <c r="C71" s="418" t="s">
        <v>334</v>
      </c>
      <c r="D71" s="419" t="s">
        <v>10</v>
      </c>
      <c r="E71" s="419"/>
      <c r="F71" s="633">
        <v>179</v>
      </c>
      <c r="G71" s="20">
        <f t="shared" si="5"/>
        <v>0</v>
      </c>
      <c r="H71" s="46">
        <f t="shared" si="6"/>
        <v>0</v>
      </c>
      <c r="L71" s="4"/>
    </row>
    <row r="72" spans="1:15" ht="16.05" customHeight="1" thickTop="1" thickBot="1" x14ac:dyDescent="0.25">
      <c r="A72" s="16"/>
      <c r="B72" s="417">
        <v>252001</v>
      </c>
      <c r="C72" s="418" t="s">
        <v>335</v>
      </c>
      <c r="D72" s="419" t="s">
        <v>10</v>
      </c>
      <c r="E72" s="419"/>
      <c r="F72" s="633">
        <v>186</v>
      </c>
      <c r="G72" s="20">
        <f t="shared" si="5"/>
        <v>0</v>
      </c>
      <c r="H72" s="46">
        <f t="shared" si="6"/>
        <v>0</v>
      </c>
      <c r="L72" s="4"/>
    </row>
    <row r="73" spans="1:15" ht="16.05" customHeight="1" thickTop="1" thickBot="1" x14ac:dyDescent="0.25">
      <c r="A73" s="16"/>
      <c r="B73" s="417">
        <v>252402</v>
      </c>
      <c r="C73" s="418" t="s">
        <v>336</v>
      </c>
      <c r="D73" s="419" t="s">
        <v>10</v>
      </c>
      <c r="E73" s="419"/>
      <c r="F73" s="633">
        <v>216</v>
      </c>
      <c r="G73" s="20">
        <f t="shared" si="5"/>
        <v>0</v>
      </c>
      <c r="H73" s="46">
        <f t="shared" si="6"/>
        <v>0</v>
      </c>
      <c r="L73" s="4"/>
    </row>
    <row r="74" spans="1:15" ht="16.05" customHeight="1" thickTop="1" thickBot="1" x14ac:dyDescent="0.25">
      <c r="A74" s="16"/>
      <c r="B74" s="417">
        <v>253002</v>
      </c>
      <c r="C74" s="418" t="s">
        <v>337</v>
      </c>
      <c r="D74" s="419" t="s">
        <v>10</v>
      </c>
      <c r="E74" s="419"/>
      <c r="F74" s="633">
        <v>272</v>
      </c>
      <c r="G74" s="20">
        <f t="shared" si="5"/>
        <v>0</v>
      </c>
      <c r="H74" s="46">
        <f t="shared" si="6"/>
        <v>0</v>
      </c>
      <c r="L74" s="4"/>
    </row>
    <row r="75" spans="1:15" ht="16.05" customHeight="1" thickTop="1" thickBot="1" x14ac:dyDescent="0.25">
      <c r="A75" s="16"/>
      <c r="B75" s="417">
        <v>254002</v>
      </c>
      <c r="C75" s="418" t="s">
        <v>338</v>
      </c>
      <c r="D75" s="419" t="s">
        <v>10</v>
      </c>
      <c r="E75" s="419"/>
      <c r="F75" s="633">
        <v>377</v>
      </c>
      <c r="G75" s="20">
        <f t="shared" si="5"/>
        <v>0</v>
      </c>
      <c r="H75" s="46">
        <f t="shared" si="6"/>
        <v>0</v>
      </c>
      <c r="L75" s="4"/>
    </row>
    <row r="76" spans="1:15" ht="16.05" customHeight="1" thickTop="1" thickBot="1" x14ac:dyDescent="0.25">
      <c r="A76" s="420" t="s">
        <v>339</v>
      </c>
      <c r="B76" s="421"/>
      <c r="C76" s="421"/>
      <c r="D76" s="421"/>
      <c r="E76" s="708"/>
      <c r="F76" s="637"/>
      <c r="G76" s="13"/>
      <c r="H76" s="416">
        <f>SUM(H77:H86)</f>
        <v>0</v>
      </c>
      <c r="L76" s="4"/>
    </row>
    <row r="77" spans="1:15" ht="16.05" customHeight="1" thickTop="1" thickBot="1" x14ac:dyDescent="0.25">
      <c r="A77" s="16"/>
      <c r="B77" s="422">
        <v>340101</v>
      </c>
      <c r="C77" s="423" t="s">
        <v>340</v>
      </c>
      <c r="D77" s="424" t="s">
        <v>10</v>
      </c>
      <c r="E77" s="419"/>
      <c r="F77" s="633">
        <v>36</v>
      </c>
      <c r="G77" s="20">
        <f t="shared" ref="G77:G95" si="7">E77*F77</f>
        <v>0</v>
      </c>
      <c r="H77" s="59">
        <f t="shared" ref="H77:H95" si="8">E77</f>
        <v>0</v>
      </c>
      <c r="L77" s="4"/>
      <c r="O77" s="68"/>
    </row>
    <row r="78" spans="1:15" ht="16.05" customHeight="1" thickTop="1" thickBot="1" x14ac:dyDescent="0.25">
      <c r="A78" s="16"/>
      <c r="B78" s="422">
        <v>340201</v>
      </c>
      <c r="C78" s="423" t="s">
        <v>341</v>
      </c>
      <c r="D78" s="424" t="s">
        <v>10</v>
      </c>
      <c r="E78" s="419"/>
      <c r="F78" s="633">
        <v>60</v>
      </c>
      <c r="G78" s="20">
        <f t="shared" si="7"/>
        <v>0</v>
      </c>
      <c r="H78" s="59">
        <f t="shared" si="8"/>
        <v>0</v>
      </c>
      <c r="L78" s="4"/>
    </row>
    <row r="79" spans="1:15" ht="16.05" customHeight="1" thickTop="1" thickBot="1" x14ac:dyDescent="0.25">
      <c r="A79" s="16"/>
      <c r="B79" s="422">
        <v>340301</v>
      </c>
      <c r="C79" s="423" t="s">
        <v>342</v>
      </c>
      <c r="D79" s="424" t="s">
        <v>10</v>
      </c>
      <c r="E79" s="424"/>
      <c r="F79" s="633">
        <v>84</v>
      </c>
      <c r="G79" s="20">
        <f t="shared" si="7"/>
        <v>0</v>
      </c>
      <c r="H79" s="59">
        <f t="shared" si="8"/>
        <v>0</v>
      </c>
      <c r="L79" s="4"/>
    </row>
    <row r="80" spans="1:15" ht="16.05" customHeight="1" thickTop="1" thickBot="1" x14ac:dyDescent="0.25">
      <c r="A80" s="16"/>
      <c r="B80" s="422">
        <v>340401</v>
      </c>
      <c r="C80" s="423" t="s">
        <v>343</v>
      </c>
      <c r="D80" s="424" t="s">
        <v>10</v>
      </c>
      <c r="E80" s="424"/>
      <c r="F80" s="633">
        <v>110</v>
      </c>
      <c r="G80" s="20">
        <f t="shared" si="7"/>
        <v>0</v>
      </c>
      <c r="H80" s="59">
        <f t="shared" si="8"/>
        <v>0</v>
      </c>
      <c r="L80" s="4"/>
    </row>
    <row r="81" spans="1:16" ht="16.05" customHeight="1" thickTop="1" thickBot="1" x14ac:dyDescent="0.25">
      <c r="A81" s="16"/>
      <c r="B81" s="422">
        <v>340501</v>
      </c>
      <c r="C81" s="423" t="s">
        <v>344</v>
      </c>
      <c r="D81" s="424" t="s">
        <v>10</v>
      </c>
      <c r="E81" s="424"/>
      <c r="F81" s="633">
        <v>131</v>
      </c>
      <c r="G81" s="20">
        <f t="shared" si="7"/>
        <v>0</v>
      </c>
      <c r="H81" s="59">
        <f t="shared" si="8"/>
        <v>0</v>
      </c>
      <c r="L81" s="4"/>
    </row>
    <row r="82" spans="1:16" ht="16.05" customHeight="1" thickTop="1" thickBot="1" x14ac:dyDescent="0.25">
      <c r="A82" s="16"/>
      <c r="B82" s="422">
        <v>340601</v>
      </c>
      <c r="C82" s="423" t="s">
        <v>345</v>
      </c>
      <c r="D82" s="424" t="s">
        <v>10</v>
      </c>
      <c r="E82" s="424"/>
      <c r="F82" s="633">
        <v>160</v>
      </c>
      <c r="G82" s="20">
        <f t="shared" si="7"/>
        <v>0</v>
      </c>
      <c r="H82" s="59">
        <f t="shared" si="8"/>
        <v>0</v>
      </c>
      <c r="L82" s="4"/>
    </row>
    <row r="83" spans="1:16" ht="16.05" customHeight="1" thickTop="1" thickBot="1" x14ac:dyDescent="0.25">
      <c r="A83" s="16"/>
      <c r="B83" s="422">
        <v>340701</v>
      </c>
      <c r="C83" s="423" t="s">
        <v>346</v>
      </c>
      <c r="D83" s="424" t="s">
        <v>10</v>
      </c>
      <c r="E83" s="424"/>
      <c r="F83" s="633">
        <v>180</v>
      </c>
      <c r="G83" s="20">
        <f t="shared" si="7"/>
        <v>0</v>
      </c>
      <c r="H83" s="59">
        <f t="shared" si="8"/>
        <v>0</v>
      </c>
      <c r="L83" s="4"/>
    </row>
    <row r="84" spans="1:16" ht="16.05" customHeight="1" thickTop="1" thickBot="1" x14ac:dyDescent="0.25">
      <c r="A84" s="16"/>
      <c r="B84" s="422">
        <v>340801</v>
      </c>
      <c r="C84" s="423" t="s">
        <v>347</v>
      </c>
      <c r="D84" s="424" t="s">
        <v>10</v>
      </c>
      <c r="E84" s="424"/>
      <c r="F84" s="633">
        <v>192</v>
      </c>
      <c r="G84" s="20">
        <f t="shared" si="7"/>
        <v>0</v>
      </c>
      <c r="H84" s="59">
        <f t="shared" si="8"/>
        <v>0</v>
      </c>
      <c r="L84" s="4"/>
    </row>
    <row r="85" spans="1:16" ht="16.05" customHeight="1" thickTop="1" thickBot="1" x14ac:dyDescent="0.25">
      <c r="A85" s="16"/>
      <c r="B85" s="422">
        <v>340901</v>
      </c>
      <c r="C85" s="423" t="s">
        <v>348</v>
      </c>
      <c r="D85" s="424" t="s">
        <v>10</v>
      </c>
      <c r="E85" s="424"/>
      <c r="F85" s="633">
        <v>218</v>
      </c>
      <c r="G85" s="20">
        <f t="shared" si="7"/>
        <v>0</v>
      </c>
      <c r="H85" s="59">
        <f t="shared" si="8"/>
        <v>0</v>
      </c>
      <c r="L85" s="4"/>
    </row>
    <row r="86" spans="1:16" ht="16.05" customHeight="1" thickTop="1" thickBot="1" x14ac:dyDescent="0.25">
      <c r="A86" s="16"/>
      <c r="B86" s="422">
        <v>341001</v>
      </c>
      <c r="C86" s="423" t="s">
        <v>349</v>
      </c>
      <c r="D86" s="424" t="s">
        <v>10</v>
      </c>
      <c r="E86" s="424"/>
      <c r="F86" s="633">
        <v>244</v>
      </c>
      <c r="G86" s="20">
        <f t="shared" si="7"/>
        <v>0</v>
      </c>
      <c r="H86" s="59">
        <f t="shared" si="8"/>
        <v>0</v>
      </c>
      <c r="L86" s="4"/>
    </row>
    <row r="87" spans="1:16" ht="16.05" customHeight="1" thickTop="1" thickBot="1" x14ac:dyDescent="0.25">
      <c r="A87" s="54" t="s">
        <v>350</v>
      </c>
      <c r="B87" s="392"/>
      <c r="C87" s="392"/>
      <c r="D87" s="392"/>
      <c r="E87" s="478"/>
      <c r="F87" s="637"/>
      <c r="G87" s="481"/>
      <c r="H87" s="416">
        <f>SUM(H88:H95)</f>
        <v>0</v>
      </c>
      <c r="L87" s="4"/>
    </row>
    <row r="88" spans="1:16" ht="16.05" customHeight="1" thickTop="1" thickBot="1" x14ac:dyDescent="0.35">
      <c r="A88" s="425"/>
      <c r="B88" s="426">
        <v>310035</v>
      </c>
      <c r="C88" s="427" t="s">
        <v>351</v>
      </c>
      <c r="D88" s="428" t="s">
        <v>352</v>
      </c>
      <c r="E88" s="631"/>
      <c r="F88" s="633">
        <v>31</v>
      </c>
      <c r="G88" s="20">
        <f t="shared" si="7"/>
        <v>0</v>
      </c>
      <c r="H88" s="59">
        <f t="shared" si="8"/>
        <v>0</v>
      </c>
      <c r="L88" s="4"/>
    </row>
    <row r="89" spans="1:16" ht="16.05" customHeight="1" thickTop="1" thickBot="1" x14ac:dyDescent="0.35">
      <c r="A89" s="425"/>
      <c r="B89" s="426">
        <v>310029</v>
      </c>
      <c r="C89" s="427" t="s">
        <v>353</v>
      </c>
      <c r="D89" s="428" t="s">
        <v>352</v>
      </c>
      <c r="E89" s="631"/>
      <c r="F89" s="633">
        <v>24</v>
      </c>
      <c r="G89" s="20">
        <f t="shared" si="7"/>
        <v>0</v>
      </c>
      <c r="H89" s="59">
        <f t="shared" si="8"/>
        <v>0</v>
      </c>
      <c r="L89" s="4"/>
    </row>
    <row r="90" spans="1:16" ht="16.05" customHeight="1" thickTop="1" thickBot="1" x14ac:dyDescent="0.35">
      <c r="A90" s="425"/>
      <c r="B90" s="426">
        <v>310050</v>
      </c>
      <c r="C90" s="427" t="s">
        <v>354</v>
      </c>
      <c r="D90" s="428" t="s">
        <v>352</v>
      </c>
      <c r="E90" s="631"/>
      <c r="F90" s="633">
        <v>32</v>
      </c>
      <c r="G90" s="20">
        <f t="shared" si="7"/>
        <v>0</v>
      </c>
      <c r="H90" s="59">
        <f t="shared" si="8"/>
        <v>0</v>
      </c>
      <c r="L90" s="4"/>
    </row>
    <row r="91" spans="1:16" ht="16.05" customHeight="1" thickTop="1" thickBot="1" x14ac:dyDescent="0.35">
      <c r="A91" s="425"/>
      <c r="B91" s="426">
        <v>310058</v>
      </c>
      <c r="C91" s="427" t="s">
        <v>355</v>
      </c>
      <c r="D91" s="428" t="s">
        <v>352</v>
      </c>
      <c r="E91" s="631"/>
      <c r="F91" s="633">
        <v>32</v>
      </c>
      <c r="G91" s="20">
        <f t="shared" si="7"/>
        <v>0</v>
      </c>
      <c r="H91" s="59">
        <f t="shared" si="8"/>
        <v>0</v>
      </c>
      <c r="L91" s="4"/>
    </row>
    <row r="92" spans="1:16" ht="16.05" customHeight="1" thickTop="1" thickBot="1" x14ac:dyDescent="0.35">
      <c r="A92" s="425"/>
      <c r="B92" s="426">
        <v>310055</v>
      </c>
      <c r="C92" s="427" t="s">
        <v>356</v>
      </c>
      <c r="D92" s="428" t="s">
        <v>352</v>
      </c>
      <c r="E92" s="631"/>
      <c r="F92" s="633">
        <v>36</v>
      </c>
      <c r="G92" s="20">
        <f t="shared" si="7"/>
        <v>0</v>
      </c>
      <c r="H92" s="59">
        <f t="shared" si="8"/>
        <v>0</v>
      </c>
      <c r="L92" s="4"/>
    </row>
    <row r="93" spans="1:16" ht="16.05" customHeight="1" thickTop="1" thickBot="1" x14ac:dyDescent="0.35">
      <c r="A93" s="425"/>
      <c r="B93" s="426">
        <v>310075</v>
      </c>
      <c r="C93" s="427" t="s">
        <v>357</v>
      </c>
      <c r="D93" s="428" t="s">
        <v>352</v>
      </c>
      <c r="E93" s="631"/>
      <c r="F93" s="633">
        <v>43</v>
      </c>
      <c r="G93" s="20">
        <f t="shared" si="7"/>
        <v>0</v>
      </c>
      <c r="H93" s="59">
        <f t="shared" si="8"/>
        <v>0</v>
      </c>
      <c r="L93" s="4"/>
    </row>
    <row r="94" spans="1:16" ht="16.05" customHeight="1" thickTop="1" thickBot="1" x14ac:dyDescent="0.35">
      <c r="A94" s="425"/>
      <c r="B94" s="426">
        <v>310085</v>
      </c>
      <c r="C94" s="427" t="s">
        <v>358</v>
      </c>
      <c r="D94" s="428" t="s">
        <v>352</v>
      </c>
      <c r="E94" s="631"/>
      <c r="F94" s="633">
        <v>44</v>
      </c>
      <c r="G94" s="20">
        <f t="shared" si="7"/>
        <v>0</v>
      </c>
      <c r="H94" s="59">
        <f t="shared" si="8"/>
        <v>0</v>
      </c>
      <c r="L94" s="4"/>
    </row>
    <row r="95" spans="1:16" ht="16.05" customHeight="1" thickTop="1" thickBot="1" x14ac:dyDescent="0.35">
      <c r="A95" s="425"/>
      <c r="B95" s="426">
        <v>310110</v>
      </c>
      <c r="C95" s="427" t="s">
        <v>467</v>
      </c>
      <c r="D95" s="428" t="s">
        <v>352</v>
      </c>
      <c r="E95" s="631"/>
      <c r="F95" s="633">
        <v>51</v>
      </c>
      <c r="G95" s="20">
        <f t="shared" si="7"/>
        <v>0</v>
      </c>
      <c r="H95" s="59">
        <f t="shared" si="8"/>
        <v>0</v>
      </c>
      <c r="L95" s="4"/>
    </row>
    <row r="96" spans="1:16" ht="16.05" customHeight="1" thickTop="1" thickBot="1" x14ac:dyDescent="0.25">
      <c r="A96" s="400" t="s">
        <v>359</v>
      </c>
      <c r="B96" s="429"/>
      <c r="C96" s="429"/>
      <c r="D96" s="429"/>
      <c r="E96" s="709"/>
      <c r="F96" s="638"/>
      <c r="G96" s="389"/>
      <c r="H96" s="59">
        <f>H97</f>
        <v>0</v>
      </c>
      <c r="L96" s="4"/>
      <c r="P96" s="4"/>
    </row>
    <row r="97" spans="1:16" ht="28.05" customHeight="1" thickTop="1" thickBot="1" x14ac:dyDescent="0.25">
      <c r="A97" s="16"/>
      <c r="B97" s="401">
        <v>430010</v>
      </c>
      <c r="C97" s="430" t="s">
        <v>360</v>
      </c>
      <c r="D97" s="401" t="s">
        <v>10</v>
      </c>
      <c r="E97" s="401"/>
      <c r="F97" s="639">
        <v>151</v>
      </c>
      <c r="G97" s="20">
        <f>E97*F97</f>
        <v>0</v>
      </c>
      <c r="H97" s="59">
        <f>E97</f>
        <v>0</v>
      </c>
      <c r="L97" s="4"/>
      <c r="M97" s="69"/>
      <c r="P97" s="4"/>
    </row>
    <row r="98" spans="1:16" ht="18" customHeight="1" thickTop="1" thickBot="1" x14ac:dyDescent="0.25">
      <c r="A98" s="16"/>
      <c r="B98" s="19">
        <v>430030</v>
      </c>
      <c r="C98" s="695" t="s">
        <v>468</v>
      </c>
      <c r="D98" s="19" t="s">
        <v>10</v>
      </c>
      <c r="E98" s="19"/>
      <c r="F98" s="633">
        <v>85</v>
      </c>
      <c r="G98" s="20">
        <f t="shared" ref="G98" si="9">E98*F98</f>
        <v>0</v>
      </c>
      <c r="H98" s="59">
        <f t="shared" ref="H98" si="10">E98</f>
        <v>0</v>
      </c>
      <c r="M98" s="84" t="s">
        <v>139</v>
      </c>
      <c r="P98" s="4"/>
    </row>
    <row r="99" spans="1:16" ht="16.05" customHeight="1" thickTop="1" thickBot="1" x14ac:dyDescent="0.25">
      <c r="A99" s="400" t="s">
        <v>361</v>
      </c>
      <c r="B99" s="431"/>
      <c r="C99" s="431"/>
      <c r="D99" s="388"/>
      <c r="E99" s="388"/>
      <c r="F99" s="636"/>
      <c r="G99" s="389"/>
      <c r="H99" s="59">
        <f>SUM(H100:H106)</f>
        <v>0</v>
      </c>
      <c r="L99" s="4"/>
      <c r="M99" s="27"/>
      <c r="P99" s="4"/>
    </row>
    <row r="100" spans="1:16" ht="16.05" customHeight="1" thickTop="1" thickBot="1" x14ac:dyDescent="0.25">
      <c r="A100" s="432"/>
      <c r="B100" s="433">
        <v>131030</v>
      </c>
      <c r="C100" s="22" t="s">
        <v>362</v>
      </c>
      <c r="D100" s="434" t="s">
        <v>10</v>
      </c>
      <c r="E100" s="404"/>
      <c r="F100" s="632">
        <v>62</v>
      </c>
      <c r="G100" s="20">
        <f t="shared" ref="G100:G106" si="11">E100*F100</f>
        <v>0</v>
      </c>
      <c r="H100" s="59">
        <f t="shared" ref="H100:H106" si="12">E100</f>
        <v>0</v>
      </c>
      <c r="L100" s="4"/>
      <c r="M100" s="27"/>
      <c r="P100" s="4"/>
    </row>
    <row r="101" spans="1:16" ht="16.05" customHeight="1" thickTop="1" thickBot="1" x14ac:dyDescent="0.25">
      <c r="A101" s="432"/>
      <c r="B101" s="433">
        <v>131050</v>
      </c>
      <c r="C101" s="22" t="s">
        <v>363</v>
      </c>
      <c r="D101" s="434" t="s">
        <v>10</v>
      </c>
      <c r="E101" s="404"/>
      <c r="F101" s="632">
        <v>92</v>
      </c>
      <c r="G101" s="20">
        <f t="shared" si="11"/>
        <v>0</v>
      </c>
      <c r="H101" s="59">
        <f t="shared" si="12"/>
        <v>0</v>
      </c>
      <c r="L101" s="4"/>
      <c r="M101" s="27"/>
      <c r="P101" s="4"/>
    </row>
    <row r="102" spans="1:16" ht="16.05" customHeight="1" thickTop="1" thickBot="1" x14ac:dyDescent="0.25">
      <c r="A102" s="432"/>
      <c r="B102" s="433">
        <v>131080</v>
      </c>
      <c r="C102" s="22" t="s">
        <v>364</v>
      </c>
      <c r="D102" s="434" t="s">
        <v>10</v>
      </c>
      <c r="E102" s="404"/>
      <c r="F102" s="632">
        <v>147</v>
      </c>
      <c r="G102" s="20">
        <f t="shared" si="11"/>
        <v>0</v>
      </c>
      <c r="H102" s="59">
        <f t="shared" si="12"/>
        <v>0</v>
      </c>
      <c r="L102" s="4"/>
      <c r="M102" s="27"/>
      <c r="P102" s="4"/>
    </row>
    <row r="103" spans="1:16" ht="16.05" customHeight="1" thickTop="1" thickBot="1" x14ac:dyDescent="0.25">
      <c r="A103" s="432"/>
      <c r="B103" s="433">
        <v>131100</v>
      </c>
      <c r="C103" s="22" t="s">
        <v>365</v>
      </c>
      <c r="D103" s="434" t="s">
        <v>10</v>
      </c>
      <c r="E103" s="404"/>
      <c r="F103" s="632">
        <v>190</v>
      </c>
      <c r="G103" s="20">
        <f t="shared" si="11"/>
        <v>0</v>
      </c>
      <c r="H103" s="59">
        <f t="shared" si="12"/>
        <v>0</v>
      </c>
      <c r="L103" s="4"/>
      <c r="M103" s="27"/>
      <c r="P103" s="4"/>
    </row>
    <row r="104" spans="1:16" ht="16.05" customHeight="1" thickTop="1" thickBot="1" x14ac:dyDescent="0.25">
      <c r="A104" s="432"/>
      <c r="B104" s="433">
        <v>131120</v>
      </c>
      <c r="C104" s="22" t="s">
        <v>366</v>
      </c>
      <c r="D104" s="434" t="s">
        <v>10</v>
      </c>
      <c r="E104" s="404"/>
      <c r="F104" s="632">
        <v>216</v>
      </c>
      <c r="G104" s="20">
        <f t="shared" si="11"/>
        <v>0</v>
      </c>
      <c r="H104" s="59">
        <f t="shared" si="12"/>
        <v>0</v>
      </c>
      <c r="L104" s="4"/>
      <c r="M104" s="27"/>
      <c r="P104" s="4"/>
    </row>
    <row r="105" spans="1:16" ht="16.05" customHeight="1" thickTop="1" thickBot="1" x14ac:dyDescent="0.25">
      <c r="A105" s="432"/>
      <c r="B105" s="433">
        <v>131150</v>
      </c>
      <c r="C105" s="18" t="s">
        <v>367</v>
      </c>
      <c r="D105" s="434" t="s">
        <v>10</v>
      </c>
      <c r="E105" s="404"/>
      <c r="F105" s="632">
        <v>250</v>
      </c>
      <c r="G105" s="20">
        <f t="shared" si="11"/>
        <v>0</v>
      </c>
      <c r="H105" s="59">
        <f t="shared" si="12"/>
        <v>0</v>
      </c>
      <c r="L105" s="4"/>
      <c r="M105" s="27"/>
      <c r="P105" s="4"/>
    </row>
    <row r="106" spans="1:16" ht="16.05" customHeight="1" thickTop="1" thickBot="1" x14ac:dyDescent="0.25">
      <c r="A106" s="432"/>
      <c r="B106" s="433">
        <v>131190</v>
      </c>
      <c r="C106" s="18" t="s">
        <v>368</v>
      </c>
      <c r="D106" s="434" t="s">
        <v>10</v>
      </c>
      <c r="E106" s="404"/>
      <c r="F106" s="632">
        <v>298</v>
      </c>
      <c r="G106" s="20">
        <f t="shared" si="11"/>
        <v>0</v>
      </c>
      <c r="H106" s="59">
        <f t="shared" si="12"/>
        <v>0</v>
      </c>
      <c r="L106" s="4"/>
      <c r="M106" s="27"/>
      <c r="P106" s="4"/>
    </row>
    <row r="107" spans="1:16" ht="16.05" customHeight="1" thickTop="1" thickBot="1" x14ac:dyDescent="0.25">
      <c r="A107" s="400" t="s">
        <v>369</v>
      </c>
      <c r="B107" s="431"/>
      <c r="C107" s="431"/>
      <c r="D107" s="388"/>
      <c r="E107" s="388"/>
      <c r="F107" s="636"/>
      <c r="G107" s="389"/>
      <c r="H107" s="59">
        <f>SUM(H108:H114)</f>
        <v>0</v>
      </c>
      <c r="L107" s="4"/>
      <c r="M107" s="27"/>
      <c r="P107" s="4"/>
    </row>
    <row r="108" spans="1:16" ht="16.05" customHeight="1" thickTop="1" thickBot="1" x14ac:dyDescent="0.25">
      <c r="A108" s="432"/>
      <c r="B108" s="433">
        <v>136018</v>
      </c>
      <c r="C108" s="22" t="s">
        <v>370</v>
      </c>
      <c r="D108" s="434" t="s">
        <v>10</v>
      </c>
      <c r="E108" s="404"/>
      <c r="F108" s="640"/>
      <c r="G108" s="20">
        <f t="shared" ref="G108:G114" si="13">E108*F108</f>
        <v>0</v>
      </c>
      <c r="H108" s="59">
        <f t="shared" ref="H108:H114" si="14">E108</f>
        <v>0</v>
      </c>
      <c r="L108" s="4"/>
      <c r="M108" s="27"/>
      <c r="P108" s="4"/>
    </row>
    <row r="109" spans="1:16" ht="16.05" customHeight="1" thickTop="1" thickBot="1" x14ac:dyDescent="0.25">
      <c r="A109" s="432"/>
      <c r="B109" s="433">
        <v>136030</v>
      </c>
      <c r="C109" s="22" t="s">
        <v>371</v>
      </c>
      <c r="D109" s="434" t="s">
        <v>10</v>
      </c>
      <c r="E109" s="404"/>
      <c r="F109" s="641"/>
      <c r="G109" s="20">
        <f t="shared" si="13"/>
        <v>0</v>
      </c>
      <c r="H109" s="59">
        <f t="shared" si="14"/>
        <v>0</v>
      </c>
      <c r="L109" s="4"/>
      <c r="M109" s="27"/>
      <c r="P109" s="4"/>
    </row>
    <row r="110" spans="1:16" ht="16.05" customHeight="1" thickTop="1" thickBot="1" x14ac:dyDescent="0.25">
      <c r="A110" s="432"/>
      <c r="B110" s="433">
        <v>136048</v>
      </c>
      <c r="C110" s="22" t="s">
        <v>372</v>
      </c>
      <c r="D110" s="434" t="s">
        <v>10</v>
      </c>
      <c r="E110" s="404"/>
      <c r="F110" s="641"/>
      <c r="G110" s="20">
        <f t="shared" si="13"/>
        <v>0</v>
      </c>
      <c r="H110" s="59">
        <f t="shared" si="14"/>
        <v>0</v>
      </c>
      <c r="L110" s="4"/>
      <c r="M110" s="27"/>
      <c r="P110" s="4"/>
    </row>
    <row r="111" spans="1:16" ht="16.05" customHeight="1" thickTop="1" thickBot="1" x14ac:dyDescent="0.25">
      <c r="A111" s="432"/>
      <c r="B111" s="433">
        <v>136060</v>
      </c>
      <c r="C111" s="22" t="s">
        <v>373</v>
      </c>
      <c r="D111" s="434" t="s">
        <v>10</v>
      </c>
      <c r="E111" s="404"/>
      <c r="F111" s="641"/>
      <c r="G111" s="20">
        <f t="shared" si="13"/>
        <v>0</v>
      </c>
      <c r="H111" s="59">
        <f t="shared" si="14"/>
        <v>0</v>
      </c>
      <c r="L111" s="4"/>
      <c r="M111" s="27"/>
      <c r="P111" s="4"/>
    </row>
    <row r="112" spans="1:16" ht="16.05" customHeight="1" thickTop="1" thickBot="1" x14ac:dyDescent="0.25">
      <c r="A112" s="432"/>
      <c r="B112" s="433">
        <v>136072</v>
      </c>
      <c r="C112" s="22" t="s">
        <v>374</v>
      </c>
      <c r="D112" s="434" t="s">
        <v>10</v>
      </c>
      <c r="E112" s="404"/>
      <c r="F112" s="641"/>
      <c r="G112" s="20">
        <f t="shared" si="13"/>
        <v>0</v>
      </c>
      <c r="H112" s="59">
        <f t="shared" si="14"/>
        <v>0</v>
      </c>
      <c r="L112" s="4"/>
      <c r="M112" s="27"/>
      <c r="P112" s="4"/>
    </row>
    <row r="113" spans="1:16" ht="16.05" customHeight="1" thickTop="1" thickBot="1" x14ac:dyDescent="0.25">
      <c r="A113" s="432"/>
      <c r="B113" s="433">
        <v>136090</v>
      </c>
      <c r="C113" s="18" t="s">
        <v>375</v>
      </c>
      <c r="D113" s="434" t="s">
        <v>10</v>
      </c>
      <c r="E113" s="404"/>
      <c r="F113" s="641"/>
      <c r="G113" s="20">
        <f t="shared" si="13"/>
        <v>0</v>
      </c>
      <c r="H113" s="59">
        <f t="shared" si="14"/>
        <v>0</v>
      </c>
      <c r="L113" s="4"/>
      <c r="M113" s="27"/>
      <c r="P113" s="4"/>
    </row>
    <row r="114" spans="1:16" ht="16.05" customHeight="1" thickTop="1" thickBot="1" x14ac:dyDescent="0.25">
      <c r="A114" s="432"/>
      <c r="B114" s="433">
        <v>136140</v>
      </c>
      <c r="C114" s="18" t="s">
        <v>376</v>
      </c>
      <c r="D114" s="434" t="s">
        <v>10</v>
      </c>
      <c r="E114" s="404"/>
      <c r="F114" s="642"/>
      <c r="G114" s="20">
        <f t="shared" si="13"/>
        <v>0</v>
      </c>
      <c r="H114" s="59">
        <f t="shared" si="14"/>
        <v>0</v>
      </c>
      <c r="L114" s="4"/>
      <c r="M114" s="27"/>
      <c r="P114" s="4"/>
    </row>
    <row r="115" spans="1:16" ht="18" customHeight="1" thickTop="1" thickBot="1" x14ac:dyDescent="0.25">
      <c r="A115" s="697" t="s">
        <v>474</v>
      </c>
      <c r="B115" s="414"/>
      <c r="C115" s="414"/>
      <c r="D115" s="414"/>
      <c r="E115" s="414"/>
      <c r="F115" s="414"/>
      <c r="G115" s="698"/>
      <c r="H115" s="416">
        <f>SUM(H116:H132)</f>
        <v>0</v>
      </c>
      <c r="L115" s="4"/>
    </row>
    <row r="116" spans="1:16" ht="16.05" customHeight="1" thickTop="1" thickBot="1" x14ac:dyDescent="0.25">
      <c r="A116" s="16"/>
      <c r="B116" s="699">
        <v>442001</v>
      </c>
      <c r="C116" s="702" t="s">
        <v>475</v>
      </c>
      <c r="D116" s="700" t="s">
        <v>10</v>
      </c>
      <c r="E116" s="700"/>
      <c r="F116" s="632">
        <v>35</v>
      </c>
      <c r="G116" s="20">
        <f>E116*F116</f>
        <v>0</v>
      </c>
      <c r="H116" s="46">
        <f>E116</f>
        <v>0</v>
      </c>
      <c r="L116" s="4"/>
    </row>
    <row r="117" spans="1:16" ht="16.05" customHeight="1" thickTop="1" thickBot="1" x14ac:dyDescent="0.25">
      <c r="A117" s="16"/>
      <c r="B117" s="699">
        <v>442000</v>
      </c>
      <c r="C117" s="701" t="s">
        <v>476</v>
      </c>
      <c r="D117" s="700" t="s">
        <v>10</v>
      </c>
      <c r="E117" s="700"/>
      <c r="F117" s="632">
        <v>45</v>
      </c>
      <c r="G117" s="20">
        <f t="shared" ref="G117:G132" si="15">E117*F117</f>
        <v>0</v>
      </c>
      <c r="H117" s="46">
        <f t="shared" ref="H117:H132" si="16">E117</f>
        <v>0</v>
      </c>
      <c r="L117" s="4"/>
    </row>
    <row r="118" spans="1:16" ht="28.05" customHeight="1" thickTop="1" thickBot="1" x14ac:dyDescent="0.25">
      <c r="A118" s="16"/>
      <c r="B118" s="699">
        <v>110150</v>
      </c>
      <c r="C118" s="436" t="s">
        <v>477</v>
      </c>
      <c r="D118" s="700" t="s">
        <v>10</v>
      </c>
      <c r="E118" s="700"/>
      <c r="F118" s="632">
        <v>24.9</v>
      </c>
      <c r="G118" s="20">
        <f t="shared" si="15"/>
        <v>0</v>
      </c>
      <c r="H118" s="46">
        <f t="shared" si="16"/>
        <v>0</v>
      </c>
      <c r="L118" s="4"/>
    </row>
    <row r="119" spans="1:16" ht="28.05" customHeight="1" thickTop="1" thickBot="1" x14ac:dyDescent="0.25">
      <c r="A119" s="16"/>
      <c r="B119" s="699">
        <v>110225</v>
      </c>
      <c r="C119" s="436" t="s">
        <v>478</v>
      </c>
      <c r="D119" s="700" t="s">
        <v>10</v>
      </c>
      <c r="E119" s="700"/>
      <c r="F119" s="632">
        <v>30.1</v>
      </c>
      <c r="G119" s="20">
        <f t="shared" si="15"/>
        <v>0</v>
      </c>
      <c r="H119" s="46">
        <f t="shared" si="16"/>
        <v>0</v>
      </c>
      <c r="L119" s="4"/>
    </row>
    <row r="120" spans="1:16" ht="28.05" customHeight="1" thickTop="1" thickBot="1" x14ac:dyDescent="0.25">
      <c r="A120" s="16"/>
      <c r="B120" s="699">
        <v>110300</v>
      </c>
      <c r="C120" s="436" t="s">
        <v>479</v>
      </c>
      <c r="D120" s="700" t="s">
        <v>10</v>
      </c>
      <c r="E120" s="700"/>
      <c r="F120" s="632">
        <v>34.85</v>
      </c>
      <c r="G120" s="20">
        <f t="shared" si="15"/>
        <v>0</v>
      </c>
      <c r="H120" s="46">
        <f t="shared" si="16"/>
        <v>0</v>
      </c>
      <c r="L120" s="4"/>
    </row>
    <row r="121" spans="1:16" ht="28.05" customHeight="1" thickTop="1" thickBot="1" x14ac:dyDescent="0.25">
      <c r="A121" s="16"/>
      <c r="B121" s="699">
        <v>110375</v>
      </c>
      <c r="C121" s="436" t="s">
        <v>480</v>
      </c>
      <c r="D121" s="700" t="s">
        <v>10</v>
      </c>
      <c r="E121" s="700"/>
      <c r="F121" s="632">
        <v>41.95</v>
      </c>
      <c r="G121" s="20">
        <f t="shared" si="15"/>
        <v>0</v>
      </c>
      <c r="H121" s="46">
        <f t="shared" si="16"/>
        <v>0</v>
      </c>
      <c r="L121" s="4"/>
    </row>
    <row r="122" spans="1:16" ht="28.05" customHeight="1" thickTop="1" thickBot="1" x14ac:dyDescent="0.25">
      <c r="A122" s="16"/>
      <c r="B122" s="699">
        <v>110450</v>
      </c>
      <c r="C122" s="436" t="s">
        <v>481</v>
      </c>
      <c r="D122" s="700" t="s">
        <v>10</v>
      </c>
      <c r="E122" s="700"/>
      <c r="F122" s="632">
        <v>47.3</v>
      </c>
      <c r="G122" s="20">
        <f t="shared" si="15"/>
        <v>0</v>
      </c>
      <c r="H122" s="46">
        <f t="shared" si="16"/>
        <v>0</v>
      </c>
      <c r="L122" s="4"/>
    </row>
    <row r="123" spans="1:16" ht="28.05" customHeight="1" thickTop="1" thickBot="1" x14ac:dyDescent="0.25">
      <c r="A123" s="16"/>
      <c r="B123" s="699">
        <v>110525</v>
      </c>
      <c r="C123" s="436" t="s">
        <v>482</v>
      </c>
      <c r="D123" s="700" t="s">
        <v>10</v>
      </c>
      <c r="E123" s="700"/>
      <c r="F123" s="632">
        <v>54.4</v>
      </c>
      <c r="G123" s="20">
        <f t="shared" si="15"/>
        <v>0</v>
      </c>
      <c r="H123" s="46">
        <f t="shared" si="16"/>
        <v>0</v>
      </c>
      <c r="L123" s="4"/>
    </row>
    <row r="124" spans="1:16" ht="28.05" customHeight="1" thickTop="1" thickBot="1" x14ac:dyDescent="0.25">
      <c r="A124" s="16"/>
      <c r="B124" s="699">
        <v>110600</v>
      </c>
      <c r="C124" s="436" t="s">
        <v>483</v>
      </c>
      <c r="D124" s="700" t="s">
        <v>10</v>
      </c>
      <c r="E124" s="700"/>
      <c r="F124" s="632">
        <v>62.8</v>
      </c>
      <c r="G124" s="20">
        <f t="shared" si="15"/>
        <v>0</v>
      </c>
      <c r="H124" s="46">
        <f t="shared" si="16"/>
        <v>0</v>
      </c>
      <c r="L124" s="4"/>
    </row>
    <row r="125" spans="1:16" ht="28.05" customHeight="1" thickTop="1" thickBot="1" x14ac:dyDescent="0.25">
      <c r="A125" s="16"/>
      <c r="B125" s="699">
        <v>110675</v>
      </c>
      <c r="C125" s="436" t="s">
        <v>484</v>
      </c>
      <c r="D125" s="700" t="s">
        <v>10</v>
      </c>
      <c r="E125" s="700"/>
      <c r="F125" s="632">
        <v>76.349999999999994</v>
      </c>
      <c r="G125" s="20">
        <f t="shared" si="15"/>
        <v>0</v>
      </c>
      <c r="H125" s="46">
        <f t="shared" si="16"/>
        <v>0</v>
      </c>
      <c r="L125" s="4"/>
    </row>
    <row r="126" spans="1:16" ht="28.05" customHeight="1" thickTop="1" thickBot="1" x14ac:dyDescent="0.25">
      <c r="A126" s="16"/>
      <c r="B126" s="699">
        <v>110750</v>
      </c>
      <c r="C126" s="436" t="s">
        <v>485</v>
      </c>
      <c r="D126" s="700" t="s">
        <v>10</v>
      </c>
      <c r="E126" s="700"/>
      <c r="F126" s="632">
        <v>87.25</v>
      </c>
      <c r="G126" s="20">
        <f t="shared" si="15"/>
        <v>0</v>
      </c>
      <c r="H126" s="46">
        <f t="shared" si="16"/>
        <v>0</v>
      </c>
      <c r="L126" s="4"/>
    </row>
    <row r="127" spans="1:16" ht="28.05" customHeight="1" thickTop="1" thickBot="1" x14ac:dyDescent="0.25">
      <c r="A127" s="16"/>
      <c r="B127" s="699">
        <v>110900</v>
      </c>
      <c r="C127" s="436" t="s">
        <v>486</v>
      </c>
      <c r="D127" s="700" t="s">
        <v>10</v>
      </c>
      <c r="E127" s="700"/>
      <c r="F127" s="632">
        <v>108.9</v>
      </c>
      <c r="G127" s="20">
        <f t="shared" si="15"/>
        <v>0</v>
      </c>
      <c r="H127" s="46">
        <f t="shared" si="16"/>
        <v>0</v>
      </c>
      <c r="L127" s="4"/>
    </row>
    <row r="128" spans="1:16" ht="28.05" customHeight="1" thickTop="1" thickBot="1" x14ac:dyDescent="0.25">
      <c r="A128" s="16"/>
      <c r="B128" s="699">
        <v>111050</v>
      </c>
      <c r="C128" s="436" t="s">
        <v>487</v>
      </c>
      <c r="D128" s="700" t="s">
        <v>10</v>
      </c>
      <c r="E128" s="700"/>
      <c r="F128" s="632">
        <v>117.45</v>
      </c>
      <c r="G128" s="20">
        <f t="shared" si="15"/>
        <v>0</v>
      </c>
      <c r="H128" s="46">
        <f t="shared" si="16"/>
        <v>0</v>
      </c>
      <c r="L128" s="4"/>
    </row>
    <row r="129" spans="1:13" ht="28.05" customHeight="1" thickTop="1" thickBot="1" x14ac:dyDescent="0.25">
      <c r="A129" s="16"/>
      <c r="B129" s="699">
        <v>111200</v>
      </c>
      <c r="C129" s="436" t="s">
        <v>488</v>
      </c>
      <c r="D129" s="700" t="s">
        <v>10</v>
      </c>
      <c r="E129" s="700"/>
      <c r="F129" s="632">
        <v>129.6</v>
      </c>
      <c r="G129" s="20">
        <f t="shared" si="15"/>
        <v>0</v>
      </c>
      <c r="H129" s="46">
        <f t="shared" si="16"/>
        <v>0</v>
      </c>
      <c r="L129" s="4"/>
    </row>
    <row r="130" spans="1:13" ht="28.05" customHeight="1" thickTop="1" thickBot="1" x14ac:dyDescent="0.25">
      <c r="A130" s="16"/>
      <c r="B130" s="699">
        <v>111500</v>
      </c>
      <c r="C130" s="436" t="s">
        <v>489</v>
      </c>
      <c r="D130" s="700" t="s">
        <v>10</v>
      </c>
      <c r="E130" s="700"/>
      <c r="F130" s="632">
        <v>169.65</v>
      </c>
      <c r="G130" s="20">
        <f t="shared" si="15"/>
        <v>0</v>
      </c>
      <c r="H130" s="46">
        <f t="shared" si="16"/>
        <v>0</v>
      </c>
      <c r="L130" s="4"/>
    </row>
    <row r="131" spans="1:13" ht="28.05" customHeight="1" thickTop="1" thickBot="1" x14ac:dyDescent="0.25">
      <c r="A131" s="16"/>
      <c r="B131" s="699">
        <v>111800</v>
      </c>
      <c r="C131" s="436" t="s">
        <v>490</v>
      </c>
      <c r="D131" s="700" t="s">
        <v>10</v>
      </c>
      <c r="E131" s="700"/>
      <c r="F131" s="632">
        <v>208.8</v>
      </c>
      <c r="G131" s="20">
        <f t="shared" si="15"/>
        <v>0</v>
      </c>
      <c r="H131" s="46">
        <f t="shared" si="16"/>
        <v>0</v>
      </c>
      <c r="L131" s="4"/>
    </row>
    <row r="132" spans="1:13" ht="28.05" customHeight="1" thickTop="1" thickBot="1" x14ac:dyDescent="0.25">
      <c r="A132" s="16"/>
      <c r="B132" s="699">
        <v>112250</v>
      </c>
      <c r="C132" s="436" t="s">
        <v>491</v>
      </c>
      <c r="D132" s="700" t="s">
        <v>10</v>
      </c>
      <c r="E132" s="700"/>
      <c r="F132" s="632">
        <v>274.39999999999998</v>
      </c>
      <c r="G132" s="20">
        <f t="shared" si="15"/>
        <v>0</v>
      </c>
      <c r="H132" s="46">
        <f t="shared" si="16"/>
        <v>0</v>
      </c>
      <c r="L132" s="4"/>
    </row>
    <row r="133" spans="1:13" ht="16.05" customHeight="1" thickTop="1" thickBot="1" x14ac:dyDescent="0.25">
      <c r="A133" s="400" t="s">
        <v>377</v>
      </c>
      <c r="B133" s="429"/>
      <c r="C133" s="429"/>
      <c r="D133" s="429"/>
      <c r="E133" s="709"/>
      <c r="F133" s="638"/>
      <c r="G133" s="389"/>
      <c r="H133" s="416">
        <f>SUM(H134:H135)</f>
        <v>0</v>
      </c>
      <c r="L133" s="4"/>
      <c r="M133" s="27"/>
    </row>
    <row r="134" spans="1:13" ht="16.05" customHeight="1" thickTop="1" thickBot="1" x14ac:dyDescent="0.25">
      <c r="A134" s="34"/>
      <c r="B134" s="404">
        <v>600331</v>
      </c>
      <c r="C134" s="405" t="s">
        <v>378</v>
      </c>
      <c r="D134" s="404" t="s">
        <v>10</v>
      </c>
      <c r="E134" s="710"/>
      <c r="F134" s="632">
        <v>141</v>
      </c>
      <c r="G134" s="37">
        <f>E134*F134</f>
        <v>0</v>
      </c>
      <c r="H134" s="59">
        <f>E134</f>
        <v>0</v>
      </c>
      <c r="J134" s="435"/>
      <c r="L134" s="4"/>
      <c r="M134" s="27"/>
    </row>
    <row r="135" spans="1:13" ht="16.05" customHeight="1" thickTop="1" thickBot="1" x14ac:dyDescent="0.25">
      <c r="A135" s="34"/>
      <c r="B135" s="404">
        <v>600661</v>
      </c>
      <c r="C135" s="405" t="s">
        <v>379</v>
      </c>
      <c r="D135" s="404" t="s">
        <v>10</v>
      </c>
      <c r="E135" s="710"/>
      <c r="F135" s="632">
        <v>211</v>
      </c>
      <c r="G135" s="37">
        <f>E135*F135</f>
        <v>0</v>
      </c>
      <c r="H135" s="59">
        <f>E135</f>
        <v>0</v>
      </c>
      <c r="L135" s="4"/>
      <c r="M135" s="27"/>
    </row>
    <row r="136" spans="1:13" ht="16.05" customHeight="1" thickTop="1" thickBot="1" x14ac:dyDescent="0.25">
      <c r="A136" s="400" t="s">
        <v>380</v>
      </c>
      <c r="B136" s="429"/>
      <c r="C136" s="429"/>
      <c r="D136" s="429"/>
      <c r="E136" s="709"/>
      <c r="F136" s="638"/>
      <c r="G136" s="389"/>
      <c r="H136" s="59">
        <f>SUM(H137:H138)</f>
        <v>0</v>
      </c>
      <c r="L136" s="4"/>
    </row>
    <row r="137" spans="1:13" ht="16.05" customHeight="1" thickTop="1" thickBot="1" x14ac:dyDescent="0.25">
      <c r="A137" s="34"/>
      <c r="B137" s="406">
        <v>610331</v>
      </c>
      <c r="C137" s="405" t="s">
        <v>381</v>
      </c>
      <c r="D137" s="401" t="s">
        <v>10</v>
      </c>
      <c r="E137" s="404"/>
      <c r="F137" s="640"/>
      <c r="G137" s="37">
        <f>E137*F137</f>
        <v>0</v>
      </c>
      <c r="H137" s="59">
        <f>E137</f>
        <v>0</v>
      </c>
      <c r="L137" s="4"/>
    </row>
    <row r="138" spans="1:13" ht="16.05" customHeight="1" thickTop="1" thickBot="1" x14ac:dyDescent="0.25">
      <c r="A138" s="34"/>
      <c r="B138" s="406">
        <v>610751</v>
      </c>
      <c r="C138" s="405" t="s">
        <v>382</v>
      </c>
      <c r="D138" s="401" t="s">
        <v>10</v>
      </c>
      <c r="E138" s="404"/>
      <c r="F138" s="642"/>
      <c r="G138" s="37">
        <f>E138*F138</f>
        <v>0</v>
      </c>
      <c r="H138" s="59">
        <f>E138</f>
        <v>0</v>
      </c>
      <c r="L138" s="4"/>
    </row>
    <row r="139" spans="1:13" ht="16.05" customHeight="1" thickTop="1" thickBot="1" x14ac:dyDescent="0.25">
      <c r="A139" s="408" t="s">
        <v>383</v>
      </c>
      <c r="B139" s="421"/>
      <c r="C139" s="421"/>
      <c r="D139" s="421"/>
      <c r="E139" s="708"/>
      <c r="F139" s="637"/>
      <c r="G139" s="482"/>
      <c r="H139" s="416">
        <f>SUM(H140:H157)</f>
        <v>0</v>
      </c>
      <c r="L139" s="4"/>
    </row>
    <row r="140" spans="1:13" ht="28.05" customHeight="1" thickTop="1" thickBot="1" x14ac:dyDescent="0.25">
      <c r="A140" s="16"/>
      <c r="B140" s="16">
        <v>825100</v>
      </c>
      <c r="C140" s="436" t="s">
        <v>384</v>
      </c>
      <c r="D140" s="16" t="s">
        <v>10</v>
      </c>
      <c r="E140" s="445"/>
      <c r="F140" s="646">
        <v>102</v>
      </c>
      <c r="G140" s="20">
        <f t="shared" ref="G140:G157" si="17">E140*F140</f>
        <v>0</v>
      </c>
      <c r="H140" s="437">
        <f>E140</f>
        <v>0</v>
      </c>
      <c r="L140" s="4"/>
      <c r="M140" s="438"/>
    </row>
    <row r="141" spans="1:13" ht="28.05" customHeight="1" thickTop="1" thickBot="1" x14ac:dyDescent="0.25">
      <c r="A141" s="16"/>
      <c r="B141" s="16">
        <v>825880</v>
      </c>
      <c r="C141" s="436" t="s">
        <v>385</v>
      </c>
      <c r="D141" s="16" t="s">
        <v>10</v>
      </c>
      <c r="E141" s="445"/>
      <c r="F141" s="646">
        <v>92</v>
      </c>
      <c r="G141" s="20">
        <f t="shared" si="17"/>
        <v>0</v>
      </c>
      <c r="H141" s="437">
        <f t="shared" ref="H141:H157" si="18">E141</f>
        <v>0</v>
      </c>
      <c r="L141" s="4"/>
      <c r="M141" s="439"/>
    </row>
    <row r="142" spans="1:13" ht="28.05" customHeight="1" thickTop="1" thickBot="1" x14ac:dyDescent="0.25">
      <c r="A142" s="16"/>
      <c r="B142" s="16">
        <v>825870</v>
      </c>
      <c r="C142" s="436" t="s">
        <v>386</v>
      </c>
      <c r="D142" s="16" t="s">
        <v>10</v>
      </c>
      <c r="E142" s="445"/>
      <c r="F142" s="646">
        <v>84</v>
      </c>
      <c r="G142" s="20">
        <f t="shared" si="17"/>
        <v>0</v>
      </c>
      <c r="H142" s="437">
        <f t="shared" si="18"/>
        <v>0</v>
      </c>
      <c r="L142" s="4"/>
      <c r="M142" s="439"/>
    </row>
    <row r="143" spans="1:13" ht="28.05" customHeight="1" thickTop="1" thickBot="1" x14ac:dyDescent="0.25">
      <c r="A143" s="16"/>
      <c r="B143" s="440">
        <v>825840</v>
      </c>
      <c r="C143" s="441" t="s">
        <v>387</v>
      </c>
      <c r="D143" s="442" t="s">
        <v>10</v>
      </c>
      <c r="E143" s="711"/>
      <c r="F143" s="633">
        <v>45</v>
      </c>
      <c r="G143" s="483">
        <f t="shared" si="17"/>
        <v>0</v>
      </c>
      <c r="H143" s="437">
        <f t="shared" si="18"/>
        <v>0</v>
      </c>
      <c r="L143" s="4"/>
    </row>
    <row r="144" spans="1:13" ht="16.05" customHeight="1" thickTop="1" thickBot="1" x14ac:dyDescent="0.25">
      <c r="A144" s="16"/>
      <c r="B144" s="440">
        <v>827000</v>
      </c>
      <c r="C144" s="443" t="s">
        <v>388</v>
      </c>
      <c r="D144" s="444" t="s">
        <v>10</v>
      </c>
      <c r="E144" s="711"/>
      <c r="F144" s="633">
        <v>25</v>
      </c>
      <c r="G144" s="483">
        <f t="shared" si="17"/>
        <v>0</v>
      </c>
      <c r="H144" s="437">
        <f t="shared" si="18"/>
        <v>0</v>
      </c>
      <c r="L144" s="4"/>
    </row>
    <row r="145" spans="1:13" ht="28.05" customHeight="1" thickTop="1" thickBot="1" x14ac:dyDescent="0.25">
      <c r="A145" s="16"/>
      <c r="B145" s="440">
        <v>838101</v>
      </c>
      <c r="C145" s="441" t="s">
        <v>389</v>
      </c>
      <c r="D145" s="442" t="s">
        <v>10</v>
      </c>
      <c r="E145" s="711"/>
      <c r="F145" s="633">
        <v>26</v>
      </c>
      <c r="G145" s="483">
        <f t="shared" si="17"/>
        <v>0</v>
      </c>
      <c r="H145" s="437">
        <f t="shared" si="18"/>
        <v>0</v>
      </c>
      <c r="L145" s="4"/>
    </row>
    <row r="146" spans="1:13" ht="16.05" customHeight="1" thickTop="1" thickBot="1" x14ac:dyDescent="0.25">
      <c r="A146" s="16"/>
      <c r="B146" s="440">
        <v>860199</v>
      </c>
      <c r="C146" s="441" t="s">
        <v>390</v>
      </c>
      <c r="D146" s="442" t="s">
        <v>10</v>
      </c>
      <c r="E146" s="711"/>
      <c r="F146" s="633">
        <v>13</v>
      </c>
      <c r="G146" s="37">
        <f t="shared" si="17"/>
        <v>0</v>
      </c>
      <c r="H146" s="437">
        <f t="shared" si="18"/>
        <v>0</v>
      </c>
      <c r="L146" s="4"/>
    </row>
    <row r="147" spans="1:13" ht="28.05" customHeight="1" thickTop="1" thickBot="1" x14ac:dyDescent="0.25">
      <c r="A147" s="445"/>
      <c r="B147" s="446">
        <v>630112</v>
      </c>
      <c r="C147" s="447" t="s">
        <v>391</v>
      </c>
      <c r="D147" s="448" t="s">
        <v>10</v>
      </c>
      <c r="E147" s="712"/>
      <c r="F147" s="633">
        <v>81</v>
      </c>
      <c r="G147" s="20">
        <f t="shared" si="17"/>
        <v>0</v>
      </c>
      <c r="H147" s="437">
        <f t="shared" si="18"/>
        <v>0</v>
      </c>
      <c r="L147" s="4"/>
    </row>
    <row r="148" spans="1:13" ht="28.05" customHeight="1" thickTop="1" thickBot="1" x14ac:dyDescent="0.25">
      <c r="A148" s="445"/>
      <c r="B148" s="446">
        <v>630113</v>
      </c>
      <c r="C148" s="447" t="s">
        <v>392</v>
      </c>
      <c r="D148" s="448" t="s">
        <v>10</v>
      </c>
      <c r="E148" s="712"/>
      <c r="F148" s="633">
        <v>123</v>
      </c>
      <c r="G148" s="20">
        <f t="shared" si="17"/>
        <v>0</v>
      </c>
      <c r="H148" s="437">
        <f t="shared" si="18"/>
        <v>0</v>
      </c>
      <c r="L148" s="4"/>
    </row>
    <row r="149" spans="1:13" ht="16.05" customHeight="1" thickTop="1" thickBot="1" x14ac:dyDescent="0.25">
      <c r="A149" s="16"/>
      <c r="B149" s="449">
        <v>720807</v>
      </c>
      <c r="C149" s="450" t="s">
        <v>473</v>
      </c>
      <c r="D149" s="451" t="s">
        <v>138</v>
      </c>
      <c r="E149" s="712"/>
      <c r="F149" s="633">
        <v>7.2</v>
      </c>
      <c r="G149" s="20">
        <v>0</v>
      </c>
      <c r="H149" s="437">
        <v>0</v>
      </c>
      <c r="L149" s="4"/>
    </row>
    <row r="150" spans="1:13" ht="16.05" customHeight="1" thickTop="1" thickBot="1" x14ac:dyDescent="0.25">
      <c r="A150" s="16"/>
      <c r="B150" s="449">
        <v>730300</v>
      </c>
      <c r="C150" s="452" t="s">
        <v>402</v>
      </c>
      <c r="D150" s="453" t="s">
        <v>138</v>
      </c>
      <c r="E150" s="713"/>
      <c r="F150" s="633">
        <v>28</v>
      </c>
      <c r="G150" s="20">
        <f t="shared" si="17"/>
        <v>0</v>
      </c>
      <c r="H150" s="437">
        <f t="shared" si="18"/>
        <v>0</v>
      </c>
      <c r="L150" s="4"/>
    </row>
    <row r="151" spans="1:13" ht="16.05" customHeight="1" thickTop="1" thickBot="1" x14ac:dyDescent="0.25">
      <c r="A151" s="454"/>
      <c r="B151" s="454">
        <v>92252</v>
      </c>
      <c r="C151" s="386" t="s">
        <v>394</v>
      </c>
      <c r="D151" s="88" t="s">
        <v>67</v>
      </c>
      <c r="E151" s="714"/>
      <c r="F151" s="633">
        <v>71</v>
      </c>
      <c r="G151" s="20">
        <f t="shared" si="17"/>
        <v>0</v>
      </c>
      <c r="H151" s="437">
        <f t="shared" si="18"/>
        <v>0</v>
      </c>
      <c r="L151" s="4"/>
    </row>
    <row r="152" spans="1:13" ht="16.05" customHeight="1" thickTop="1" thickBot="1" x14ac:dyDescent="0.25">
      <c r="A152" s="454"/>
      <c r="B152" s="454" t="s">
        <v>395</v>
      </c>
      <c r="C152" s="386" t="s">
        <v>396</v>
      </c>
      <c r="D152" s="88" t="s">
        <v>67</v>
      </c>
      <c r="E152" s="714"/>
      <c r="F152" s="633">
        <v>50</v>
      </c>
      <c r="G152" s="483">
        <f t="shared" si="17"/>
        <v>0</v>
      </c>
      <c r="H152" s="437">
        <f t="shared" si="18"/>
        <v>0</v>
      </c>
      <c r="L152" s="4"/>
    </row>
    <row r="153" spans="1:13" ht="16.5" customHeight="1" thickTop="1" thickBot="1" x14ac:dyDescent="0.25">
      <c r="A153" s="454"/>
      <c r="B153" s="454" t="s">
        <v>469</v>
      </c>
      <c r="C153" s="386" t="s">
        <v>470</v>
      </c>
      <c r="D153" s="88" t="s">
        <v>67</v>
      </c>
      <c r="E153" s="454"/>
      <c r="F153" s="696">
        <v>119</v>
      </c>
      <c r="G153" s="483">
        <f t="shared" si="17"/>
        <v>0</v>
      </c>
      <c r="H153" s="59">
        <f t="shared" si="18"/>
        <v>0</v>
      </c>
    </row>
    <row r="154" spans="1:13" ht="16.05" customHeight="1" thickTop="1" thickBot="1" x14ac:dyDescent="0.25">
      <c r="A154" s="454"/>
      <c r="B154" s="460" t="s">
        <v>397</v>
      </c>
      <c r="C154" s="461" t="s">
        <v>398</v>
      </c>
      <c r="D154" s="462" t="s">
        <v>67</v>
      </c>
      <c r="E154" s="715"/>
      <c r="F154" s="633">
        <v>11</v>
      </c>
      <c r="G154" s="483">
        <f t="shared" si="17"/>
        <v>0</v>
      </c>
      <c r="H154" s="437">
        <f t="shared" si="18"/>
        <v>0</v>
      </c>
      <c r="I154" s="58"/>
      <c r="L154" s="4"/>
    </row>
    <row r="155" spans="1:13" ht="16.5" customHeight="1" thickTop="1" thickBot="1" x14ac:dyDescent="0.25">
      <c r="A155" s="454"/>
      <c r="B155" s="454" t="s">
        <v>471</v>
      </c>
      <c r="C155" s="386" t="s">
        <v>472</v>
      </c>
      <c r="D155" s="88" t="s">
        <v>67</v>
      </c>
      <c r="E155" s="454"/>
      <c r="F155" s="696">
        <v>6</v>
      </c>
      <c r="G155" s="483">
        <f t="shared" si="17"/>
        <v>0</v>
      </c>
      <c r="H155" s="59">
        <f t="shared" si="18"/>
        <v>0</v>
      </c>
      <c r="I155" s="58"/>
    </row>
    <row r="156" spans="1:13" ht="16.05" customHeight="1" thickTop="1" thickBot="1" x14ac:dyDescent="0.25">
      <c r="A156" s="455"/>
      <c r="B156" s="456">
        <v>720200</v>
      </c>
      <c r="C156" s="457" t="s">
        <v>66</v>
      </c>
      <c r="D156" s="456" t="s">
        <v>67</v>
      </c>
      <c r="E156" s="716"/>
      <c r="F156" s="633">
        <v>5</v>
      </c>
      <c r="G156" s="483">
        <f>E156*F156</f>
        <v>0</v>
      </c>
      <c r="H156" s="437">
        <f t="shared" si="18"/>
        <v>0</v>
      </c>
      <c r="I156" s="58"/>
      <c r="L156" s="4"/>
    </row>
    <row r="157" spans="1:13" ht="16.05" customHeight="1" thickTop="1" thickBot="1" x14ac:dyDescent="0.25">
      <c r="A157" s="455"/>
      <c r="B157" s="456">
        <v>720310</v>
      </c>
      <c r="C157" s="457" t="s">
        <v>399</v>
      </c>
      <c r="D157" s="456" t="s">
        <v>67</v>
      </c>
      <c r="E157" s="716"/>
      <c r="F157" s="633">
        <v>17</v>
      </c>
      <c r="G157" s="483">
        <f t="shared" si="17"/>
        <v>0</v>
      </c>
      <c r="H157" s="437">
        <f t="shared" si="18"/>
        <v>0</v>
      </c>
      <c r="L157" s="4"/>
    </row>
    <row r="158" spans="1:13" ht="16.05" customHeight="1" thickTop="1" thickBot="1" x14ac:dyDescent="0.25">
      <c r="A158" s="385" t="s">
        <v>41</v>
      </c>
      <c r="B158" s="388"/>
      <c r="C158" s="388"/>
      <c r="D158" s="388"/>
      <c r="E158" s="388"/>
      <c r="F158" s="636"/>
      <c r="G158" s="703"/>
      <c r="H158" s="59">
        <f>SUM(H159:H172)</f>
        <v>0</v>
      </c>
      <c r="I158" s="4"/>
      <c r="J158" s="4"/>
      <c r="K158" s="4"/>
      <c r="L158" s="4"/>
      <c r="M158" s="85"/>
    </row>
    <row r="159" spans="1:13" ht="16.05" customHeight="1" thickTop="1" thickBot="1" x14ac:dyDescent="0.25">
      <c r="A159" s="16"/>
      <c r="B159" s="17">
        <v>120308</v>
      </c>
      <c r="C159" s="18" t="s">
        <v>24</v>
      </c>
      <c r="D159" s="19" t="s">
        <v>10</v>
      </c>
      <c r="E159" s="643"/>
      <c r="F159" s="632">
        <v>32</v>
      </c>
      <c r="G159" s="20">
        <f t="shared" ref="G159:G172" si="19">E159*F159</f>
        <v>0</v>
      </c>
      <c r="H159" s="59">
        <f t="shared" ref="H159:H172" si="20">E159</f>
        <v>0</v>
      </c>
      <c r="I159" s="4"/>
      <c r="J159" s="4"/>
      <c r="K159" s="4"/>
      <c r="L159" s="4"/>
      <c r="M159" s="27"/>
    </row>
    <row r="160" spans="1:13" ht="16.05" customHeight="1" thickTop="1" thickBot="1" x14ac:dyDescent="0.25">
      <c r="A160" s="16"/>
      <c r="B160" s="17">
        <v>120458</v>
      </c>
      <c r="C160" s="18" t="s">
        <v>25</v>
      </c>
      <c r="D160" s="19" t="s">
        <v>10</v>
      </c>
      <c r="E160" s="643"/>
      <c r="F160" s="632">
        <v>46</v>
      </c>
      <c r="G160" s="20">
        <f t="shared" si="19"/>
        <v>0</v>
      </c>
      <c r="H160" s="59">
        <f t="shared" si="20"/>
        <v>0</v>
      </c>
      <c r="I160" s="4"/>
      <c r="J160" s="4"/>
      <c r="K160" s="4"/>
      <c r="L160" s="4"/>
      <c r="M160" s="27"/>
    </row>
    <row r="161" spans="1:18" ht="16.05" customHeight="1" thickTop="1" thickBot="1" x14ac:dyDescent="0.25">
      <c r="A161" s="16"/>
      <c r="B161" s="17">
        <v>120608</v>
      </c>
      <c r="C161" s="18" t="s">
        <v>26</v>
      </c>
      <c r="D161" s="19" t="s">
        <v>10</v>
      </c>
      <c r="E161" s="643"/>
      <c r="F161" s="632">
        <v>58</v>
      </c>
      <c r="G161" s="20">
        <f t="shared" si="19"/>
        <v>0</v>
      </c>
      <c r="H161" s="59">
        <f t="shared" si="20"/>
        <v>0</v>
      </c>
      <c r="I161" s="4"/>
      <c r="J161" s="4"/>
      <c r="K161" s="4"/>
      <c r="L161" s="4"/>
      <c r="M161" s="27"/>
    </row>
    <row r="162" spans="1:18" ht="16.05" customHeight="1" thickTop="1" thickBot="1" x14ac:dyDescent="0.25">
      <c r="A162" s="16"/>
      <c r="B162" s="17">
        <v>120758</v>
      </c>
      <c r="C162" s="18" t="s">
        <v>27</v>
      </c>
      <c r="D162" s="19" t="s">
        <v>10</v>
      </c>
      <c r="E162" s="643"/>
      <c r="F162" s="632">
        <v>69</v>
      </c>
      <c r="G162" s="20">
        <f t="shared" si="19"/>
        <v>0</v>
      </c>
      <c r="H162" s="59">
        <f t="shared" si="20"/>
        <v>0</v>
      </c>
      <c r="I162" s="4"/>
      <c r="J162" s="4"/>
      <c r="K162" s="4"/>
      <c r="L162" s="4"/>
      <c r="M162" s="27"/>
    </row>
    <row r="163" spans="1:18" ht="16.05" customHeight="1" thickTop="1" thickBot="1" x14ac:dyDescent="0.25">
      <c r="A163" s="16"/>
      <c r="B163" s="17">
        <v>120908</v>
      </c>
      <c r="C163" s="18" t="s">
        <v>28</v>
      </c>
      <c r="D163" s="19" t="s">
        <v>10</v>
      </c>
      <c r="E163" s="643"/>
      <c r="F163" s="632">
        <v>75</v>
      </c>
      <c r="G163" s="20">
        <f t="shared" si="19"/>
        <v>0</v>
      </c>
      <c r="H163" s="59">
        <f t="shared" si="20"/>
        <v>0</v>
      </c>
      <c r="I163" s="4"/>
      <c r="J163" s="4"/>
      <c r="K163" s="4"/>
      <c r="L163" s="4"/>
      <c r="M163" s="27"/>
    </row>
    <row r="164" spans="1:18" ht="16.05" customHeight="1" thickTop="1" thickBot="1" x14ac:dyDescent="0.25">
      <c r="A164" s="16"/>
      <c r="B164" s="17">
        <v>121208</v>
      </c>
      <c r="C164" s="18" t="s">
        <v>29</v>
      </c>
      <c r="D164" s="19" t="s">
        <v>10</v>
      </c>
      <c r="E164" s="643"/>
      <c r="F164" s="632">
        <v>95</v>
      </c>
      <c r="G164" s="20">
        <f t="shared" si="19"/>
        <v>0</v>
      </c>
      <c r="H164" s="59">
        <f t="shared" si="20"/>
        <v>0</v>
      </c>
      <c r="I164" s="4"/>
      <c r="J164" s="4"/>
      <c r="K164" s="7"/>
      <c r="L164" s="4"/>
      <c r="M164" s="27"/>
    </row>
    <row r="165" spans="1:18" ht="16.05" customHeight="1" thickTop="1" thickBot="1" x14ac:dyDescent="0.25">
      <c r="A165" s="16"/>
      <c r="B165" s="17">
        <v>121508</v>
      </c>
      <c r="C165" s="18" t="s">
        <v>30</v>
      </c>
      <c r="D165" s="19" t="s">
        <v>10</v>
      </c>
      <c r="E165" s="75"/>
      <c r="F165" s="632">
        <v>115</v>
      </c>
      <c r="G165" s="20">
        <f t="shared" si="19"/>
        <v>0</v>
      </c>
      <c r="H165" s="59">
        <f t="shared" si="20"/>
        <v>0</v>
      </c>
      <c r="I165" s="4"/>
      <c r="J165" s="4"/>
      <c r="K165" s="4"/>
      <c r="L165" s="4"/>
      <c r="M165" s="27"/>
    </row>
    <row r="166" spans="1:18" ht="16.05" customHeight="1" thickTop="1" thickBot="1" x14ac:dyDescent="0.25">
      <c r="A166" s="16"/>
      <c r="B166" s="17">
        <v>121808</v>
      </c>
      <c r="C166" s="18" t="s">
        <v>31</v>
      </c>
      <c r="D166" s="19" t="s">
        <v>10</v>
      </c>
      <c r="E166" s="643"/>
      <c r="F166" s="632">
        <v>138</v>
      </c>
      <c r="G166" s="20">
        <f t="shared" si="19"/>
        <v>0</v>
      </c>
      <c r="H166" s="59">
        <f t="shared" si="20"/>
        <v>0</v>
      </c>
      <c r="I166" s="4"/>
      <c r="J166" s="4"/>
      <c r="K166" s="4"/>
      <c r="L166" s="4"/>
      <c r="M166" s="27"/>
    </row>
    <row r="167" spans="1:18" ht="16.05" customHeight="1" thickTop="1" thickBot="1" x14ac:dyDescent="0.25">
      <c r="A167" s="16"/>
      <c r="B167" s="17">
        <v>122108</v>
      </c>
      <c r="C167" s="18" t="s">
        <v>32</v>
      </c>
      <c r="D167" s="19" t="s">
        <v>10</v>
      </c>
      <c r="E167" s="643"/>
      <c r="F167" s="632">
        <v>161</v>
      </c>
      <c r="G167" s="20">
        <f t="shared" si="19"/>
        <v>0</v>
      </c>
      <c r="H167" s="59">
        <f t="shared" si="20"/>
        <v>0</v>
      </c>
      <c r="I167" s="4"/>
      <c r="J167" s="4"/>
      <c r="K167" s="4"/>
      <c r="L167" s="4"/>
      <c r="M167" s="27"/>
    </row>
    <row r="168" spans="1:18" ht="16.05" customHeight="1" thickTop="1" thickBot="1" x14ac:dyDescent="0.25">
      <c r="A168" s="16"/>
      <c r="B168" s="17">
        <v>122408</v>
      </c>
      <c r="C168" s="18" t="s">
        <v>33</v>
      </c>
      <c r="D168" s="19" t="s">
        <v>10</v>
      </c>
      <c r="E168" s="643"/>
      <c r="F168" s="632">
        <v>169</v>
      </c>
      <c r="G168" s="20">
        <f t="shared" si="19"/>
        <v>0</v>
      </c>
      <c r="H168" s="59">
        <f t="shared" si="20"/>
        <v>0</v>
      </c>
      <c r="I168" s="4"/>
      <c r="J168" s="4"/>
      <c r="K168" s="4"/>
      <c r="L168" s="4"/>
      <c r="M168" s="27"/>
      <c r="Q168" s="631"/>
    </row>
    <row r="169" spans="1:18" ht="16.05" customHeight="1" thickTop="1" thickBot="1" x14ac:dyDescent="0.25">
      <c r="A169" s="16"/>
      <c r="B169" s="17">
        <v>123008</v>
      </c>
      <c r="C169" s="18" t="s">
        <v>34</v>
      </c>
      <c r="D169" s="19" t="s">
        <v>10</v>
      </c>
      <c r="E169" s="643"/>
      <c r="F169" s="632">
        <v>217</v>
      </c>
      <c r="G169" s="20">
        <f t="shared" si="19"/>
        <v>0</v>
      </c>
      <c r="H169" s="59">
        <f t="shared" si="20"/>
        <v>0</v>
      </c>
      <c r="I169" s="4"/>
      <c r="J169" s="4"/>
      <c r="K169" s="4"/>
      <c r="L169" s="4"/>
      <c r="M169" s="27"/>
    </row>
    <row r="170" spans="1:18" ht="16.05" customHeight="1" thickTop="1" thickBot="1" x14ac:dyDescent="0.25">
      <c r="A170" s="16"/>
      <c r="B170" s="17">
        <v>123408</v>
      </c>
      <c r="C170" s="18" t="s">
        <v>44</v>
      </c>
      <c r="D170" s="19" t="s">
        <v>10</v>
      </c>
      <c r="E170" s="643"/>
      <c r="F170" s="632">
        <v>247</v>
      </c>
      <c r="G170" s="20">
        <f t="shared" si="19"/>
        <v>0</v>
      </c>
      <c r="H170" s="59">
        <f t="shared" si="20"/>
        <v>0</v>
      </c>
      <c r="I170" s="4"/>
      <c r="J170" s="4"/>
      <c r="K170" s="4"/>
      <c r="L170" s="4"/>
      <c r="M170" s="27"/>
    </row>
    <row r="171" spans="1:18" ht="16.05" customHeight="1" thickTop="1" thickBot="1" x14ac:dyDescent="0.25">
      <c r="A171" s="16"/>
      <c r="B171" s="17">
        <v>123608</v>
      </c>
      <c r="C171" s="18" t="s">
        <v>35</v>
      </c>
      <c r="D171" s="19" t="s">
        <v>10</v>
      </c>
      <c r="E171" s="643"/>
      <c r="F171" s="632">
        <v>259</v>
      </c>
      <c r="G171" s="20">
        <f t="shared" si="19"/>
        <v>0</v>
      </c>
      <c r="H171" s="59">
        <f t="shared" si="20"/>
        <v>0</v>
      </c>
      <c r="I171" s="4"/>
      <c r="J171" s="4"/>
      <c r="K171" s="4"/>
      <c r="L171" s="4"/>
      <c r="M171" s="27"/>
    </row>
    <row r="172" spans="1:18" ht="16.05" customHeight="1" thickTop="1" thickBot="1" x14ac:dyDescent="0.25">
      <c r="A172" s="16"/>
      <c r="B172" s="17">
        <v>124208</v>
      </c>
      <c r="C172" s="18" t="s">
        <v>36</v>
      </c>
      <c r="D172" s="19" t="s">
        <v>10</v>
      </c>
      <c r="E172" s="643"/>
      <c r="F172" s="632">
        <v>335</v>
      </c>
      <c r="G172" s="20">
        <f t="shared" si="19"/>
        <v>0</v>
      </c>
      <c r="H172" s="59">
        <f t="shared" si="20"/>
        <v>0</v>
      </c>
      <c r="I172" s="4"/>
      <c r="J172" s="4"/>
      <c r="K172" s="4"/>
      <c r="L172" s="4"/>
      <c r="M172" s="27"/>
    </row>
    <row r="173" spans="1:18" ht="16.05" customHeight="1" thickTop="1" thickBot="1" x14ac:dyDescent="0.25">
      <c r="A173" s="385" t="s">
        <v>71</v>
      </c>
      <c r="B173" s="388"/>
      <c r="C173" s="388"/>
      <c r="D173" s="388"/>
      <c r="E173" s="388"/>
      <c r="F173" s="636"/>
      <c r="G173" s="13"/>
      <c r="H173" s="46">
        <f>SUM(H174:H177)</f>
        <v>0</v>
      </c>
      <c r="I173" s="85" t="s">
        <v>140</v>
      </c>
      <c r="J173" s="4"/>
      <c r="K173" s="4"/>
      <c r="L173" s="4"/>
      <c r="M173" s="27"/>
      <c r="N173" s="4"/>
      <c r="O173" s="4"/>
      <c r="P173" s="4"/>
      <c r="Q173" s="4"/>
      <c r="R173" s="4"/>
    </row>
    <row r="174" spans="1:18" ht="16.05" customHeight="1" thickTop="1" thickBot="1" x14ac:dyDescent="0.25">
      <c r="A174" s="16"/>
      <c r="B174" s="17">
        <v>125006</v>
      </c>
      <c r="C174" s="18" t="s">
        <v>26</v>
      </c>
      <c r="D174" s="19" t="s">
        <v>10</v>
      </c>
      <c r="E174" s="643"/>
      <c r="F174" s="632">
        <v>73</v>
      </c>
      <c r="G174" s="20">
        <f>E174*F174</f>
        <v>0</v>
      </c>
      <c r="H174" s="46">
        <f>E174</f>
        <v>0</v>
      </c>
      <c r="I174" s="85">
        <f>E174*600</f>
        <v>0</v>
      </c>
      <c r="J174" s="4"/>
      <c r="K174" s="4"/>
      <c r="L174" s="4"/>
      <c r="M174" s="27"/>
      <c r="N174" s="4"/>
      <c r="O174" s="4"/>
      <c r="P174" s="4"/>
      <c r="Q174" s="4"/>
      <c r="R174" s="4"/>
    </row>
    <row r="175" spans="1:18" ht="16.05" customHeight="1" thickTop="1" thickBot="1" x14ac:dyDescent="0.25">
      <c r="A175" s="16"/>
      <c r="B175" s="17">
        <v>125012</v>
      </c>
      <c r="C175" s="18" t="s">
        <v>29</v>
      </c>
      <c r="D175" s="19" t="s">
        <v>10</v>
      </c>
      <c r="E175" s="58"/>
      <c r="F175" s="632">
        <v>124</v>
      </c>
      <c r="G175" s="20">
        <f>E175*F175</f>
        <v>0</v>
      </c>
      <c r="H175" s="46">
        <f>E175</f>
        <v>0</v>
      </c>
      <c r="I175" s="85">
        <f>E175*600</f>
        <v>0</v>
      </c>
      <c r="J175" s="4"/>
      <c r="K175" s="4"/>
      <c r="L175" s="4"/>
      <c r="M175" s="27"/>
      <c r="N175" s="4"/>
      <c r="O175" s="4"/>
      <c r="P175" s="4"/>
      <c r="Q175" s="4"/>
      <c r="R175" s="4"/>
    </row>
    <row r="176" spans="1:18" ht="16.05" customHeight="1" thickTop="1" thickBot="1" x14ac:dyDescent="0.25">
      <c r="A176" s="16"/>
      <c r="B176" s="17">
        <v>125019</v>
      </c>
      <c r="C176" s="18" t="s">
        <v>72</v>
      </c>
      <c r="D176" s="19" t="s">
        <v>10</v>
      </c>
      <c r="E176" s="445"/>
      <c r="F176" s="632">
        <v>198</v>
      </c>
      <c r="G176" s="20">
        <f>E176*F176</f>
        <v>0</v>
      </c>
      <c r="H176" s="46">
        <f>E176</f>
        <v>0</v>
      </c>
      <c r="I176" s="85">
        <f>E176*600</f>
        <v>0</v>
      </c>
      <c r="J176" s="4"/>
      <c r="K176" s="4"/>
      <c r="L176" s="4"/>
      <c r="M176" s="27"/>
      <c r="N176" s="4"/>
      <c r="O176" s="4"/>
      <c r="P176" s="4"/>
      <c r="Q176" s="4"/>
      <c r="R176" s="4"/>
    </row>
    <row r="177" spans="1:23" ht="16.05" customHeight="1" thickTop="1" thickBot="1" x14ac:dyDescent="0.25">
      <c r="A177" s="16"/>
      <c r="B177" s="17">
        <v>125034</v>
      </c>
      <c r="C177" s="18" t="s">
        <v>73</v>
      </c>
      <c r="D177" s="19" t="s">
        <v>10</v>
      </c>
      <c r="E177" s="644"/>
      <c r="F177" s="632">
        <v>304</v>
      </c>
      <c r="G177" s="20">
        <f>E177*F177</f>
        <v>0</v>
      </c>
      <c r="H177" s="46">
        <f>E177</f>
        <v>0</v>
      </c>
      <c r="I177" s="85">
        <f>E177*600</f>
        <v>0</v>
      </c>
      <c r="J177" s="4"/>
      <c r="K177" s="4"/>
      <c r="L177" s="4"/>
      <c r="M177" s="27"/>
      <c r="N177" s="4"/>
      <c r="O177" s="4"/>
      <c r="P177" s="4"/>
      <c r="Q177" s="4"/>
      <c r="R177" s="4"/>
    </row>
    <row r="178" spans="1:23" ht="16.05" customHeight="1" thickTop="1" thickBot="1" x14ac:dyDescent="0.25">
      <c r="A178" s="385" t="s">
        <v>74</v>
      </c>
      <c r="B178" s="388"/>
      <c r="C178" s="388"/>
      <c r="D178" s="388"/>
      <c r="E178" s="388"/>
      <c r="F178" s="636"/>
      <c r="G178" s="13"/>
      <c r="H178" s="59">
        <f>SUM(H179:H182)</f>
        <v>0</v>
      </c>
      <c r="I178" s="27" t="s">
        <v>140</v>
      </c>
      <c r="J178" s="4"/>
      <c r="K178" s="4"/>
      <c r="L178" s="4"/>
      <c r="M178" s="4"/>
      <c r="N178" s="4"/>
      <c r="O178" s="4"/>
      <c r="P178" s="4"/>
      <c r="Q178" s="4"/>
      <c r="R178" s="4"/>
      <c r="S178" s="4"/>
      <c r="T178" s="4"/>
      <c r="U178" s="4"/>
      <c r="V178" s="4"/>
      <c r="W178" s="4"/>
    </row>
    <row r="179" spans="1:23" ht="16.05" customHeight="1" thickTop="1" thickBot="1" x14ac:dyDescent="0.25">
      <c r="A179" s="16"/>
      <c r="B179" s="50" t="s">
        <v>75</v>
      </c>
      <c r="C179" s="18" t="s">
        <v>403</v>
      </c>
      <c r="D179" s="19" t="s">
        <v>10</v>
      </c>
      <c r="E179" s="643"/>
      <c r="F179" s="632">
        <v>46</v>
      </c>
      <c r="G179" s="20">
        <f>E179*F179</f>
        <v>0</v>
      </c>
      <c r="H179" s="59">
        <f>E179</f>
        <v>0</v>
      </c>
      <c r="I179" s="27">
        <f>E179*400</f>
        <v>0</v>
      </c>
      <c r="J179" s="4"/>
      <c r="K179" s="4"/>
      <c r="L179" s="4"/>
      <c r="M179" s="4"/>
      <c r="N179" s="4"/>
      <c r="O179" s="4"/>
      <c r="P179" s="4"/>
      <c r="Q179" s="4"/>
      <c r="R179" s="4"/>
      <c r="S179" s="4"/>
      <c r="T179" s="4"/>
      <c r="U179" s="4"/>
      <c r="V179" s="4"/>
      <c r="W179" s="4"/>
    </row>
    <row r="180" spans="1:23" ht="16.05" customHeight="1" thickTop="1" thickBot="1" x14ac:dyDescent="0.25">
      <c r="A180" s="16"/>
      <c r="B180" s="17">
        <v>210502</v>
      </c>
      <c r="C180" s="18" t="s">
        <v>404</v>
      </c>
      <c r="D180" s="19" t="s">
        <v>10</v>
      </c>
      <c r="E180" s="643"/>
      <c r="F180" s="632">
        <v>96</v>
      </c>
      <c r="G180" s="20">
        <f>E180*F180</f>
        <v>0</v>
      </c>
      <c r="H180" s="59">
        <f>E180</f>
        <v>0</v>
      </c>
      <c r="I180" s="27">
        <f>E180*1000</f>
        <v>0</v>
      </c>
      <c r="J180" s="4"/>
      <c r="K180" s="4"/>
      <c r="L180" s="4"/>
      <c r="M180" s="4"/>
      <c r="N180" s="4"/>
      <c r="O180" s="4"/>
      <c r="P180" s="4"/>
      <c r="Q180" s="4"/>
      <c r="R180" s="4"/>
      <c r="S180" s="4"/>
      <c r="T180" s="4"/>
      <c r="U180" s="4"/>
      <c r="V180" s="4"/>
      <c r="W180" s="4"/>
    </row>
    <row r="181" spans="1:23" ht="16.05" customHeight="1" thickTop="1" thickBot="1" x14ac:dyDescent="0.25">
      <c r="A181" s="16"/>
      <c r="B181" s="17">
        <v>210802</v>
      </c>
      <c r="C181" s="18" t="s">
        <v>405</v>
      </c>
      <c r="D181" s="19" t="s">
        <v>10</v>
      </c>
      <c r="E181" s="643"/>
      <c r="F181" s="632">
        <v>166</v>
      </c>
      <c r="G181" s="20">
        <f>E181*F181</f>
        <v>0</v>
      </c>
      <c r="H181" s="59">
        <f>E181</f>
        <v>0</v>
      </c>
      <c r="I181" s="27">
        <f>E181*1600</f>
        <v>0</v>
      </c>
      <c r="J181" s="4"/>
      <c r="K181" s="4"/>
      <c r="L181" s="4"/>
      <c r="M181" s="4"/>
      <c r="N181" s="4"/>
      <c r="O181" s="4"/>
      <c r="P181" s="4"/>
      <c r="Q181" s="4"/>
      <c r="R181" s="4"/>
      <c r="S181" s="4"/>
      <c r="T181" s="4"/>
      <c r="U181" s="4"/>
      <c r="V181" s="4"/>
      <c r="W181" s="4"/>
    </row>
    <row r="182" spans="1:23" ht="16.05" customHeight="1" thickTop="1" thickBot="1" x14ac:dyDescent="0.25">
      <c r="A182" s="16"/>
      <c r="B182" s="17">
        <v>211002</v>
      </c>
      <c r="C182" s="18" t="s">
        <v>406</v>
      </c>
      <c r="D182" s="19" t="s">
        <v>10</v>
      </c>
      <c r="E182" s="643"/>
      <c r="F182" s="632">
        <v>180</v>
      </c>
      <c r="G182" s="20">
        <f>E182*F182</f>
        <v>0</v>
      </c>
      <c r="H182" s="59">
        <f>E182</f>
        <v>0</v>
      </c>
      <c r="I182" s="27">
        <f>E182*2000</f>
        <v>0</v>
      </c>
      <c r="J182" s="4"/>
      <c r="K182" s="4"/>
      <c r="L182" s="4"/>
      <c r="M182" s="4"/>
      <c r="N182" s="4"/>
      <c r="O182" s="4"/>
      <c r="P182" s="4"/>
      <c r="Q182" s="4"/>
      <c r="R182" s="4"/>
      <c r="S182" s="4"/>
      <c r="T182" s="4"/>
      <c r="U182" s="4"/>
      <c r="V182" s="4"/>
      <c r="W182" s="4"/>
    </row>
    <row r="183" spans="1:23" ht="16.05" customHeight="1" thickTop="1" thickBot="1" x14ac:dyDescent="0.25">
      <c r="A183" s="385" t="s">
        <v>76</v>
      </c>
      <c r="B183" s="388"/>
      <c r="C183" s="388"/>
      <c r="D183" s="388"/>
      <c r="E183" s="388"/>
      <c r="F183" s="636"/>
      <c r="G183" s="13"/>
      <c r="H183" s="59">
        <f>SUM(H184:H187)</f>
        <v>0</v>
      </c>
      <c r="I183" s="27" t="s">
        <v>140</v>
      </c>
      <c r="J183" s="4"/>
      <c r="K183" s="4"/>
      <c r="L183" s="4"/>
      <c r="M183" s="4"/>
      <c r="N183" s="4"/>
      <c r="O183" s="4"/>
      <c r="P183" s="4"/>
      <c r="Q183" s="4"/>
      <c r="R183" s="4"/>
      <c r="S183" s="4"/>
      <c r="T183" s="4"/>
    </row>
    <row r="184" spans="1:23" ht="16.05" customHeight="1" thickTop="1" thickBot="1" x14ac:dyDescent="0.25">
      <c r="A184" s="16"/>
      <c r="B184" s="17">
        <v>126002</v>
      </c>
      <c r="C184" s="18" t="s">
        <v>407</v>
      </c>
      <c r="D184" s="19" t="s">
        <v>10</v>
      </c>
      <c r="E184" s="643"/>
      <c r="F184" s="632">
        <v>92</v>
      </c>
      <c r="G184" s="20">
        <f>E184*F184</f>
        <v>0</v>
      </c>
      <c r="H184" s="59">
        <f>E184</f>
        <v>0</v>
      </c>
      <c r="I184" s="27">
        <f>E184*600</f>
        <v>0</v>
      </c>
      <c r="J184" s="4"/>
      <c r="K184" s="4"/>
      <c r="L184" s="4"/>
      <c r="M184" s="4"/>
      <c r="N184" s="4"/>
      <c r="O184" s="4"/>
      <c r="P184" s="4"/>
      <c r="Q184" s="4"/>
      <c r="R184" s="4"/>
      <c r="S184" s="4"/>
      <c r="T184" s="4"/>
    </row>
    <row r="185" spans="1:23" ht="16.05" customHeight="1" thickTop="1" thickBot="1" x14ac:dyDescent="0.25">
      <c r="A185" s="16"/>
      <c r="B185" s="17">
        <v>126005</v>
      </c>
      <c r="C185" s="18" t="s">
        <v>408</v>
      </c>
      <c r="D185" s="19" t="s">
        <v>10</v>
      </c>
      <c r="E185" s="643"/>
      <c r="F185" s="632">
        <v>161</v>
      </c>
      <c r="G185" s="20">
        <f>E185*F185</f>
        <v>0</v>
      </c>
      <c r="H185" s="59">
        <f>E185</f>
        <v>0</v>
      </c>
      <c r="I185" s="27">
        <f>E185*1500</f>
        <v>0</v>
      </c>
      <c r="J185" s="4"/>
      <c r="K185" s="4"/>
      <c r="L185" s="4"/>
      <c r="M185" s="4"/>
      <c r="N185" s="4"/>
      <c r="O185" s="4"/>
      <c r="P185" s="4"/>
      <c r="Q185" s="4"/>
      <c r="R185" s="4"/>
      <c r="S185" s="4"/>
      <c r="T185" s="4"/>
    </row>
    <row r="186" spans="1:23" ht="16.05" customHeight="1" thickTop="1" thickBot="1" x14ac:dyDescent="0.25">
      <c r="A186" s="16"/>
      <c r="B186" s="17">
        <v>126008</v>
      </c>
      <c r="C186" s="18" t="s">
        <v>409</v>
      </c>
      <c r="D186" s="19" t="s">
        <v>10</v>
      </c>
      <c r="E186" s="643"/>
      <c r="F186" s="632">
        <v>257</v>
      </c>
      <c r="G186" s="20">
        <f>E186*F186</f>
        <v>0</v>
      </c>
      <c r="H186" s="59">
        <f>E186</f>
        <v>0</v>
      </c>
      <c r="I186" s="27">
        <f>E186*2400</f>
        <v>0</v>
      </c>
      <c r="J186" s="4"/>
      <c r="K186" s="4"/>
      <c r="L186" s="4"/>
      <c r="M186" s="4"/>
      <c r="N186" s="4"/>
      <c r="O186" s="4"/>
      <c r="P186" s="4"/>
      <c r="Q186" s="4"/>
      <c r="R186" s="4"/>
      <c r="S186" s="4"/>
      <c r="T186" s="4"/>
    </row>
    <row r="187" spans="1:23" ht="16.05" customHeight="1" thickTop="1" thickBot="1" x14ac:dyDescent="0.25">
      <c r="A187" s="16"/>
      <c r="B187" s="17">
        <v>126010</v>
      </c>
      <c r="C187" s="18" t="s">
        <v>410</v>
      </c>
      <c r="D187" s="19" t="s">
        <v>10</v>
      </c>
      <c r="E187" s="643"/>
      <c r="F187" s="632">
        <v>321</v>
      </c>
      <c r="G187" s="20">
        <f>E187*F187</f>
        <v>0</v>
      </c>
      <c r="H187" s="59">
        <f>E187</f>
        <v>0</v>
      </c>
      <c r="I187" s="27">
        <f>E187*3000</f>
        <v>0</v>
      </c>
      <c r="J187" s="4"/>
      <c r="K187" s="4"/>
      <c r="L187" s="4"/>
      <c r="M187" s="4"/>
      <c r="N187" s="4"/>
      <c r="O187" s="4"/>
      <c r="P187" s="4"/>
      <c r="Q187" s="4"/>
      <c r="R187" s="4"/>
      <c r="S187" s="4"/>
      <c r="T187" s="4"/>
    </row>
    <row r="188" spans="1:23" ht="16.05" customHeight="1" thickTop="1" thickBot="1" x14ac:dyDescent="0.25">
      <c r="A188" s="609" t="s">
        <v>40</v>
      </c>
      <c r="B188" s="431"/>
      <c r="C188" s="431"/>
      <c r="D188" s="431"/>
      <c r="E188" s="431"/>
      <c r="F188" s="636"/>
      <c r="G188" s="704"/>
      <c r="H188" s="59">
        <f>SUM(H189:H205)</f>
        <v>0</v>
      </c>
      <c r="I188" s="4"/>
      <c r="J188" s="4"/>
      <c r="K188" s="4"/>
      <c r="L188" s="4"/>
      <c r="M188" s="85"/>
    </row>
    <row r="189" spans="1:23" ht="16.05" customHeight="1" thickTop="1" thickBot="1" x14ac:dyDescent="0.25">
      <c r="A189" s="455"/>
      <c r="B189" s="21" t="s">
        <v>37</v>
      </c>
      <c r="C189" s="18" t="s">
        <v>441</v>
      </c>
      <c r="D189" s="19" t="s">
        <v>10</v>
      </c>
      <c r="E189" s="643"/>
      <c r="F189" s="632">
        <v>242</v>
      </c>
      <c r="G189" s="20">
        <f t="shared" ref="G189:G205" si="21">E189*F189</f>
        <v>0</v>
      </c>
      <c r="H189" s="59">
        <f t="shared" ref="H189:H200" si="22">E189</f>
        <v>0</v>
      </c>
      <c r="I189" s="4"/>
      <c r="J189" s="4"/>
      <c r="K189" s="4"/>
      <c r="L189" s="4"/>
      <c r="M189" s="27"/>
    </row>
    <row r="190" spans="1:23" ht="16.05" customHeight="1" thickTop="1" thickBot="1" x14ac:dyDescent="0.25">
      <c r="A190" s="455"/>
      <c r="B190" s="21" t="s">
        <v>38</v>
      </c>
      <c r="C190" s="18" t="s">
        <v>442</v>
      </c>
      <c r="D190" s="19" t="s">
        <v>10</v>
      </c>
      <c r="E190" s="643"/>
      <c r="F190" s="632">
        <v>125</v>
      </c>
      <c r="G190" s="20">
        <f t="shared" si="21"/>
        <v>0</v>
      </c>
      <c r="H190" s="59">
        <f t="shared" si="22"/>
        <v>0</v>
      </c>
      <c r="I190" s="4"/>
      <c r="J190" s="4"/>
      <c r="K190" s="4"/>
      <c r="L190" s="4"/>
      <c r="M190" s="27"/>
    </row>
    <row r="191" spans="1:23" ht="16.05" customHeight="1" thickTop="1" thickBot="1" x14ac:dyDescent="0.25">
      <c r="A191" s="455"/>
      <c r="B191" s="21" t="s">
        <v>39</v>
      </c>
      <c r="C191" s="18" t="s">
        <v>426</v>
      </c>
      <c r="D191" s="19" t="s">
        <v>10</v>
      </c>
      <c r="E191" s="643"/>
      <c r="F191" s="632">
        <v>191</v>
      </c>
      <c r="G191" s="20">
        <f t="shared" si="21"/>
        <v>0</v>
      </c>
      <c r="H191" s="59">
        <f t="shared" si="22"/>
        <v>0</v>
      </c>
      <c r="I191" s="4"/>
      <c r="J191" s="4"/>
      <c r="K191" s="4"/>
      <c r="L191" s="4"/>
      <c r="M191" s="27"/>
    </row>
    <row r="192" spans="1:23" ht="16.05" customHeight="1" thickTop="1" thickBot="1" x14ac:dyDescent="0.25">
      <c r="A192" s="455"/>
      <c r="B192" s="21" t="s">
        <v>293</v>
      </c>
      <c r="C192" s="18" t="s">
        <v>294</v>
      </c>
      <c r="D192" s="19" t="s">
        <v>10</v>
      </c>
      <c r="E192" s="643"/>
      <c r="F192" s="632">
        <v>191</v>
      </c>
      <c r="G192" s="20">
        <f t="shared" si="21"/>
        <v>0</v>
      </c>
      <c r="H192" s="59">
        <f t="shared" si="22"/>
        <v>0</v>
      </c>
      <c r="I192" s="4"/>
      <c r="J192" s="4"/>
      <c r="K192" s="4"/>
      <c r="L192" s="4"/>
      <c r="M192" s="27"/>
    </row>
    <row r="193" spans="1:13" ht="16.05" customHeight="1" thickTop="1" thickBot="1" x14ac:dyDescent="0.25">
      <c r="A193" s="455"/>
      <c r="B193" s="21" t="s">
        <v>295</v>
      </c>
      <c r="C193" s="18" t="s">
        <v>296</v>
      </c>
      <c r="D193" s="19" t="s">
        <v>10</v>
      </c>
      <c r="E193" s="643"/>
      <c r="F193" s="632">
        <v>38</v>
      </c>
      <c r="G193" s="20">
        <f t="shared" si="21"/>
        <v>0</v>
      </c>
      <c r="H193" s="59">
        <f t="shared" si="22"/>
        <v>0</v>
      </c>
      <c r="I193" s="4"/>
      <c r="J193" s="4"/>
      <c r="K193" s="4"/>
      <c r="L193" s="4"/>
      <c r="M193" s="27"/>
    </row>
    <row r="194" spans="1:13" ht="16.05" customHeight="1" thickTop="1" thickBot="1" x14ac:dyDescent="0.25">
      <c r="A194" s="455"/>
      <c r="B194" s="21" t="s">
        <v>432</v>
      </c>
      <c r="C194" s="18" t="s">
        <v>433</v>
      </c>
      <c r="D194" s="19" t="s">
        <v>10</v>
      </c>
      <c r="E194" s="643"/>
      <c r="F194" s="632">
        <v>243</v>
      </c>
      <c r="G194" s="20">
        <f t="shared" si="21"/>
        <v>0</v>
      </c>
      <c r="H194" s="59">
        <f t="shared" si="22"/>
        <v>0</v>
      </c>
      <c r="I194" s="4"/>
      <c r="J194" s="4"/>
      <c r="K194" s="7"/>
      <c r="L194" s="4"/>
      <c r="M194" s="27"/>
    </row>
    <row r="195" spans="1:13" ht="16.05" customHeight="1" thickTop="1" thickBot="1" x14ac:dyDescent="0.25">
      <c r="A195" s="455"/>
      <c r="B195" s="21" t="s">
        <v>423</v>
      </c>
      <c r="C195" s="18" t="s">
        <v>443</v>
      </c>
      <c r="D195" s="19" t="s">
        <v>10</v>
      </c>
      <c r="E195" s="645"/>
      <c r="F195" s="632">
        <v>227</v>
      </c>
      <c r="G195" s="20">
        <f t="shared" si="21"/>
        <v>0</v>
      </c>
      <c r="H195" s="59">
        <f t="shared" si="22"/>
        <v>0</v>
      </c>
      <c r="I195" s="4"/>
      <c r="J195" s="4"/>
      <c r="K195" s="4"/>
      <c r="L195" s="4"/>
      <c r="M195" s="27"/>
    </row>
    <row r="196" spans="1:13" ht="16.05" customHeight="1" thickTop="1" thickBot="1" x14ac:dyDescent="0.25">
      <c r="A196" s="455"/>
      <c r="B196" s="21" t="s">
        <v>440</v>
      </c>
      <c r="C196" s="18" t="s">
        <v>444</v>
      </c>
      <c r="D196" s="19" t="s">
        <v>10</v>
      </c>
      <c r="E196" s="643"/>
      <c r="F196" s="632">
        <v>63</v>
      </c>
      <c r="G196" s="20">
        <f t="shared" si="21"/>
        <v>0</v>
      </c>
      <c r="H196" s="59">
        <f t="shared" si="22"/>
        <v>0</v>
      </c>
      <c r="I196" s="4"/>
      <c r="J196" s="4"/>
      <c r="K196" s="4"/>
      <c r="L196" s="4"/>
      <c r="M196" s="27"/>
    </row>
    <row r="197" spans="1:13" ht="16.05" customHeight="1" thickTop="1" thickBot="1" x14ac:dyDescent="0.25">
      <c r="A197" s="455"/>
      <c r="B197" s="440">
        <v>892551</v>
      </c>
      <c r="C197" s="22" t="s">
        <v>445</v>
      </c>
      <c r="D197" s="19" t="s">
        <v>10</v>
      </c>
      <c r="E197" s="643"/>
      <c r="F197" s="632">
        <v>106</v>
      </c>
      <c r="G197" s="20">
        <f t="shared" si="21"/>
        <v>0</v>
      </c>
      <c r="H197" s="59">
        <f t="shared" si="22"/>
        <v>0</v>
      </c>
      <c r="I197" s="4"/>
      <c r="J197" s="4"/>
      <c r="K197" s="4"/>
      <c r="L197" s="4"/>
      <c r="M197" s="27"/>
    </row>
    <row r="198" spans="1:13" ht="16.05" customHeight="1" thickTop="1" thickBot="1" x14ac:dyDescent="0.25">
      <c r="A198" s="455"/>
      <c r="B198" s="21">
        <v>891551</v>
      </c>
      <c r="C198" s="18" t="s">
        <v>144</v>
      </c>
      <c r="D198" s="19" t="s">
        <v>10</v>
      </c>
      <c r="E198" s="643"/>
      <c r="F198" s="632">
        <v>91</v>
      </c>
      <c r="G198" s="20">
        <f t="shared" si="21"/>
        <v>0</v>
      </c>
      <c r="H198" s="59">
        <f t="shared" si="22"/>
        <v>0</v>
      </c>
      <c r="I198" s="4"/>
      <c r="J198" s="4"/>
      <c r="K198" s="4"/>
      <c r="L198" s="4"/>
      <c r="M198" s="27"/>
    </row>
    <row r="199" spans="1:13" ht="16.05" customHeight="1" thickTop="1" thickBot="1" x14ac:dyDescent="0.25">
      <c r="A199" s="455"/>
      <c r="B199" s="21">
        <v>891650</v>
      </c>
      <c r="C199" s="18" t="s">
        <v>446</v>
      </c>
      <c r="D199" s="19" t="s">
        <v>10</v>
      </c>
      <c r="E199" s="643"/>
      <c r="F199" s="632">
        <v>42</v>
      </c>
      <c r="G199" s="20">
        <f t="shared" si="21"/>
        <v>0</v>
      </c>
      <c r="H199" s="59">
        <f t="shared" si="22"/>
        <v>0</v>
      </c>
      <c r="I199" s="4"/>
      <c r="J199" s="4"/>
      <c r="K199" s="4"/>
      <c r="L199" s="4"/>
      <c r="M199" s="27"/>
    </row>
    <row r="200" spans="1:13" ht="16.05" customHeight="1" thickTop="1" thickBot="1" x14ac:dyDescent="0.25">
      <c r="A200" s="455"/>
      <c r="B200" s="21">
        <v>860199</v>
      </c>
      <c r="C200" s="18" t="s">
        <v>164</v>
      </c>
      <c r="D200" s="19" t="s">
        <v>10</v>
      </c>
      <c r="E200" s="643"/>
      <c r="F200" s="632">
        <v>13</v>
      </c>
      <c r="G200" s="20">
        <f t="shared" si="21"/>
        <v>0</v>
      </c>
      <c r="H200" s="59">
        <f t="shared" si="22"/>
        <v>0</v>
      </c>
      <c r="I200" s="4"/>
      <c r="J200" s="4"/>
      <c r="K200" s="4"/>
      <c r="L200" s="4"/>
      <c r="M200" s="27"/>
    </row>
    <row r="201" spans="1:13" ht="16.05" customHeight="1" thickTop="1" thickBot="1" x14ac:dyDescent="0.25">
      <c r="A201" s="455"/>
      <c r="B201" s="21">
        <v>901441</v>
      </c>
      <c r="C201" s="18" t="s">
        <v>447</v>
      </c>
      <c r="D201" s="19" t="s">
        <v>10</v>
      </c>
      <c r="E201" s="643"/>
      <c r="F201" s="632">
        <v>51</v>
      </c>
      <c r="G201" s="20">
        <f t="shared" si="21"/>
        <v>0</v>
      </c>
      <c r="H201" s="59">
        <f>E201</f>
        <v>0</v>
      </c>
      <c r="I201" s="4"/>
      <c r="J201" s="4"/>
      <c r="K201" s="4"/>
      <c r="L201" s="4"/>
      <c r="M201" s="27"/>
    </row>
    <row r="202" spans="1:13" ht="16.05" customHeight="1" thickTop="1" thickBot="1" x14ac:dyDescent="0.25">
      <c r="A202" s="455"/>
      <c r="B202" s="21">
        <v>893550</v>
      </c>
      <c r="C202" s="18" t="s">
        <v>428</v>
      </c>
      <c r="D202" s="19" t="s">
        <v>10</v>
      </c>
      <c r="E202" s="643"/>
      <c r="F202" s="632">
        <v>324</v>
      </c>
      <c r="G202" s="20">
        <f t="shared" si="21"/>
        <v>0</v>
      </c>
      <c r="H202" s="59">
        <f>E202</f>
        <v>0</v>
      </c>
      <c r="I202" s="4"/>
      <c r="J202" s="4"/>
      <c r="K202" s="4"/>
      <c r="L202" s="4"/>
      <c r="M202" s="27"/>
    </row>
    <row r="203" spans="1:13" ht="16.05" customHeight="1" thickTop="1" thickBot="1" x14ac:dyDescent="0.25">
      <c r="A203" s="455"/>
      <c r="B203" s="21">
        <v>900056</v>
      </c>
      <c r="C203" s="18" t="s">
        <v>427</v>
      </c>
      <c r="D203" s="19" t="s">
        <v>10</v>
      </c>
      <c r="E203" s="643"/>
      <c r="F203" s="632">
        <v>221</v>
      </c>
      <c r="G203" s="20">
        <f t="shared" si="21"/>
        <v>0</v>
      </c>
      <c r="H203" s="59">
        <f>E203</f>
        <v>0</v>
      </c>
      <c r="I203" s="4"/>
      <c r="J203" s="4"/>
      <c r="K203" s="4"/>
      <c r="L203" s="4"/>
      <c r="M203" s="27"/>
    </row>
    <row r="204" spans="1:13" ht="16.05" customHeight="1" thickTop="1" thickBot="1" x14ac:dyDescent="0.25">
      <c r="A204" s="455"/>
      <c r="B204" s="21">
        <v>890065</v>
      </c>
      <c r="C204" s="18" t="s">
        <v>80</v>
      </c>
      <c r="D204" s="19" t="s">
        <v>10</v>
      </c>
      <c r="E204" s="643"/>
      <c r="F204" s="632">
        <v>261</v>
      </c>
      <c r="G204" s="20">
        <f t="shared" si="21"/>
        <v>0</v>
      </c>
      <c r="H204" s="59">
        <f>E204</f>
        <v>0</v>
      </c>
      <c r="I204" s="4"/>
      <c r="J204" s="4"/>
      <c r="K204" s="4"/>
      <c r="L204" s="4"/>
      <c r="M204" s="27"/>
    </row>
    <row r="205" spans="1:13" ht="16.05" customHeight="1" thickTop="1" thickBot="1" x14ac:dyDescent="0.25">
      <c r="A205" s="455"/>
      <c r="B205" s="21">
        <v>900055</v>
      </c>
      <c r="C205" s="18" t="s">
        <v>448</v>
      </c>
      <c r="D205" s="19" t="s">
        <v>10</v>
      </c>
      <c r="E205" s="643"/>
      <c r="F205" s="632">
        <v>261</v>
      </c>
      <c r="G205" s="20">
        <f t="shared" si="21"/>
        <v>0</v>
      </c>
      <c r="H205" s="59">
        <f>E205</f>
        <v>0</v>
      </c>
      <c r="I205" s="4"/>
      <c r="J205" s="4"/>
      <c r="K205" s="7"/>
      <c r="L205" s="4"/>
      <c r="M205" s="27"/>
    </row>
    <row r="206" spans="1:13" ht="18" customHeight="1" thickTop="1" thickBot="1" x14ac:dyDescent="0.25">
      <c r="A206" s="476" t="s">
        <v>492</v>
      </c>
      <c r="B206" s="474"/>
      <c r="C206" s="474"/>
      <c r="D206" s="474"/>
      <c r="E206" s="475"/>
      <c r="F206" s="637"/>
      <c r="G206" s="477"/>
      <c r="H206" s="368">
        <f>SUM(H207:H214)</f>
        <v>0</v>
      </c>
      <c r="L206" s="4"/>
    </row>
    <row r="207" spans="1:13" ht="16.05" customHeight="1" thickTop="1" thickBot="1" x14ac:dyDescent="0.25">
      <c r="A207" s="17"/>
      <c r="B207" s="17">
        <v>150211</v>
      </c>
      <c r="C207" s="465" t="s">
        <v>83</v>
      </c>
      <c r="D207" s="17" t="s">
        <v>90</v>
      </c>
      <c r="E207" s="721"/>
      <c r="F207" s="633">
        <v>6</v>
      </c>
      <c r="G207" s="20">
        <f>E207*F207</f>
        <v>0</v>
      </c>
      <c r="H207" s="368">
        <f t="shared" ref="H207:H214" si="23">E207</f>
        <v>0</v>
      </c>
      <c r="L207" s="4"/>
    </row>
    <row r="208" spans="1:13" ht="16.05" customHeight="1" thickTop="1" thickBot="1" x14ac:dyDescent="0.25">
      <c r="A208" s="17"/>
      <c r="B208" s="463">
        <v>150217</v>
      </c>
      <c r="C208" s="465" t="s">
        <v>84</v>
      </c>
      <c r="D208" s="17" t="s">
        <v>90</v>
      </c>
      <c r="E208" s="721"/>
      <c r="F208" s="633">
        <v>6</v>
      </c>
      <c r="G208" s="20">
        <f t="shared" ref="G208:G214" si="24">E208*F208</f>
        <v>0</v>
      </c>
      <c r="H208" s="368">
        <f t="shared" si="23"/>
        <v>0</v>
      </c>
      <c r="L208" s="4"/>
    </row>
    <row r="209" spans="1:15" ht="16.05" customHeight="1" thickTop="1" thickBot="1" x14ac:dyDescent="0.25">
      <c r="A209" s="17"/>
      <c r="B209" s="464">
        <v>151020</v>
      </c>
      <c r="C209" s="465" t="s">
        <v>42</v>
      </c>
      <c r="D209" s="17" t="s">
        <v>90</v>
      </c>
      <c r="E209" s="721"/>
      <c r="F209" s="633">
        <v>7</v>
      </c>
      <c r="G209" s="20">
        <f t="shared" si="24"/>
        <v>0</v>
      </c>
      <c r="H209" s="368">
        <f t="shared" si="23"/>
        <v>0</v>
      </c>
      <c r="L209" s="4"/>
    </row>
    <row r="210" spans="1:15" ht="16.05" customHeight="1" thickTop="1" thickBot="1" x14ac:dyDescent="0.25">
      <c r="A210" s="17"/>
      <c r="B210" s="464">
        <v>159000</v>
      </c>
      <c r="C210" s="465" t="s">
        <v>85</v>
      </c>
      <c r="D210" s="17" t="s">
        <v>90</v>
      </c>
      <c r="E210" s="721"/>
      <c r="F210" s="633">
        <v>7</v>
      </c>
      <c r="G210" s="20">
        <f t="shared" si="24"/>
        <v>0</v>
      </c>
      <c r="H210" s="368">
        <f t="shared" si="23"/>
        <v>0</v>
      </c>
      <c r="L210" s="4"/>
    </row>
    <row r="211" spans="1:15" ht="16.05" customHeight="1" thickTop="1" thickBot="1" x14ac:dyDescent="0.25">
      <c r="A211" s="17"/>
      <c r="B211" s="464">
        <v>159555</v>
      </c>
      <c r="C211" s="465" t="s">
        <v>86</v>
      </c>
      <c r="D211" s="17" t="s">
        <v>90</v>
      </c>
      <c r="E211" s="721"/>
      <c r="F211" s="633">
        <v>8</v>
      </c>
      <c r="G211" s="20">
        <f t="shared" si="24"/>
        <v>0</v>
      </c>
      <c r="H211" s="368">
        <f t="shared" si="23"/>
        <v>0</v>
      </c>
      <c r="L211" s="4"/>
    </row>
    <row r="212" spans="1:15" ht="16.05" customHeight="1" thickTop="1" thickBot="1" x14ac:dyDescent="0.25">
      <c r="A212" s="17"/>
      <c r="B212" s="464">
        <v>159565</v>
      </c>
      <c r="C212" s="465" t="s">
        <v>87</v>
      </c>
      <c r="D212" s="17" t="s">
        <v>90</v>
      </c>
      <c r="E212" s="721"/>
      <c r="F212" s="633">
        <v>8</v>
      </c>
      <c r="G212" s="20">
        <f t="shared" si="24"/>
        <v>0</v>
      </c>
      <c r="H212" s="368">
        <f t="shared" si="23"/>
        <v>0</v>
      </c>
      <c r="L212" s="4"/>
    </row>
    <row r="213" spans="1:15" ht="16.05" customHeight="1" thickTop="1" thickBot="1" x14ac:dyDescent="0.25">
      <c r="A213" s="17"/>
      <c r="B213" s="464">
        <v>151025</v>
      </c>
      <c r="C213" s="465" t="s">
        <v>88</v>
      </c>
      <c r="D213" s="17" t="s">
        <v>90</v>
      </c>
      <c r="E213" s="721"/>
      <c r="F213" s="633">
        <v>7</v>
      </c>
      <c r="G213" s="20">
        <f t="shared" si="24"/>
        <v>0</v>
      </c>
      <c r="H213" s="368">
        <f t="shared" si="23"/>
        <v>0</v>
      </c>
      <c r="L213" s="4"/>
    </row>
    <row r="214" spans="1:15" ht="16.05" customHeight="1" thickTop="1" thickBot="1" x14ac:dyDescent="0.25">
      <c r="A214" s="17"/>
      <c r="B214" s="464">
        <v>151033</v>
      </c>
      <c r="C214" s="465" t="s">
        <v>89</v>
      </c>
      <c r="D214" s="17" t="s">
        <v>90</v>
      </c>
      <c r="E214" s="721"/>
      <c r="F214" s="633">
        <v>7</v>
      </c>
      <c r="G214" s="20">
        <f t="shared" si="24"/>
        <v>0</v>
      </c>
      <c r="H214" s="368">
        <f t="shared" si="23"/>
        <v>0</v>
      </c>
      <c r="L214" s="4"/>
    </row>
    <row r="215" spans="1:15" ht="16.5" customHeight="1" thickTop="1" thickBot="1" x14ac:dyDescent="0.25">
      <c r="A215" s="54" t="s">
        <v>411</v>
      </c>
      <c r="B215" s="392"/>
      <c r="C215" s="392"/>
      <c r="D215" s="392"/>
      <c r="E215" s="478"/>
      <c r="F215" s="637"/>
      <c r="G215" s="11"/>
      <c r="H215" s="368">
        <f>SUM(H216:H219)</f>
        <v>0</v>
      </c>
      <c r="L215" s="4"/>
      <c r="O215" s="387"/>
    </row>
    <row r="216" spans="1:15" ht="16.05" customHeight="1" thickTop="1" thickBot="1" x14ac:dyDescent="0.25">
      <c r="A216" s="16"/>
      <c r="B216" s="467">
        <v>160100</v>
      </c>
      <c r="C216" s="470" t="s">
        <v>79</v>
      </c>
      <c r="D216" s="391" t="s">
        <v>10</v>
      </c>
      <c r="E216" s="722"/>
      <c r="F216" s="633">
        <v>13</v>
      </c>
      <c r="G216" s="484">
        <f>E216*F216</f>
        <v>0</v>
      </c>
      <c r="H216" s="59">
        <f>E216</f>
        <v>0</v>
      </c>
      <c r="L216" s="4"/>
      <c r="O216" s="387"/>
    </row>
    <row r="217" spans="1:15" ht="16.05" customHeight="1" thickTop="1" thickBot="1" x14ac:dyDescent="0.25">
      <c r="A217" s="393"/>
      <c r="B217" s="468">
        <v>160108</v>
      </c>
      <c r="C217" s="471" t="s">
        <v>297</v>
      </c>
      <c r="D217" s="393" t="s">
        <v>138</v>
      </c>
      <c r="E217" s="723"/>
      <c r="F217" s="633">
        <v>14</v>
      </c>
      <c r="G217" s="484">
        <f>E217*F217</f>
        <v>0</v>
      </c>
      <c r="H217" s="59">
        <f>E217</f>
        <v>0</v>
      </c>
      <c r="L217" s="4"/>
      <c r="O217" s="387"/>
    </row>
    <row r="218" spans="1:15" ht="16.05" customHeight="1" thickTop="1" thickBot="1" x14ac:dyDescent="0.25">
      <c r="A218" s="16"/>
      <c r="B218" s="469">
        <v>720310</v>
      </c>
      <c r="C218" s="472" t="s">
        <v>151</v>
      </c>
      <c r="D218" s="466" t="s">
        <v>10</v>
      </c>
      <c r="E218" s="724"/>
      <c r="F218" s="633">
        <v>17</v>
      </c>
      <c r="G218" s="20">
        <f>E218*F218</f>
        <v>0</v>
      </c>
      <c r="H218" s="59">
        <f>E218</f>
        <v>0</v>
      </c>
      <c r="L218" s="4"/>
      <c r="O218" s="387"/>
    </row>
    <row r="219" spans="1:15" ht="18" customHeight="1" thickTop="1" thickBot="1" x14ac:dyDescent="0.25">
      <c r="A219" s="455"/>
      <c r="B219" s="456">
        <v>720200</v>
      </c>
      <c r="C219" s="457" t="s">
        <v>66</v>
      </c>
      <c r="D219" s="456" t="s">
        <v>67</v>
      </c>
      <c r="E219" s="725"/>
      <c r="F219" s="633">
        <v>5</v>
      </c>
      <c r="G219" s="483">
        <f>E219*F219</f>
        <v>0</v>
      </c>
      <c r="H219" s="437">
        <f>E219</f>
        <v>0</v>
      </c>
      <c r="I219" s="58"/>
      <c r="L219" s="4"/>
    </row>
    <row r="220" spans="1:15" ht="16.05" customHeight="1" thickTop="1" thickBot="1" x14ac:dyDescent="0.25">
      <c r="A220" s="395" t="s">
        <v>62</v>
      </c>
      <c r="B220" s="396"/>
      <c r="C220" s="396"/>
      <c r="D220" s="396"/>
      <c r="E220" s="478"/>
      <c r="F220" s="637"/>
      <c r="G220" s="13"/>
      <c r="H220" s="368">
        <f>SUM(H221:H234)</f>
        <v>0</v>
      </c>
      <c r="L220" s="4"/>
    </row>
    <row r="221" spans="1:15" ht="16.05" customHeight="1" thickTop="1" thickBot="1" x14ac:dyDescent="0.25">
      <c r="A221" s="16"/>
      <c r="B221" s="33">
        <v>155001</v>
      </c>
      <c r="C221" s="18" t="s">
        <v>48</v>
      </c>
      <c r="D221" s="19" t="s">
        <v>10</v>
      </c>
      <c r="E221" s="643"/>
      <c r="F221" s="633">
        <v>34</v>
      </c>
      <c r="G221" s="20">
        <f t="shared" ref="G221:G234" si="25">E221*F221</f>
        <v>0</v>
      </c>
      <c r="H221" s="46">
        <f t="shared" ref="H221:H234" si="26">E221</f>
        <v>0</v>
      </c>
      <c r="L221" s="4"/>
    </row>
    <row r="222" spans="1:15" s="435" customFormat="1" ht="16.05" customHeight="1" thickTop="1" thickBot="1" x14ac:dyDescent="0.25">
      <c r="A222" s="16"/>
      <c r="B222" s="33">
        <v>155002</v>
      </c>
      <c r="C222" s="18" t="s">
        <v>49</v>
      </c>
      <c r="D222" s="19" t="s">
        <v>10</v>
      </c>
      <c r="E222" s="643"/>
      <c r="F222" s="633">
        <v>35</v>
      </c>
      <c r="G222" s="20">
        <f t="shared" si="25"/>
        <v>0</v>
      </c>
      <c r="H222" s="46">
        <f t="shared" si="26"/>
        <v>0</v>
      </c>
      <c r="I222" s="5"/>
      <c r="J222" s="5"/>
      <c r="K222" s="5"/>
      <c r="L222" s="4"/>
    </row>
    <row r="223" spans="1:15" s="435" customFormat="1" ht="16.05" customHeight="1" thickTop="1" thickBot="1" x14ac:dyDescent="0.25">
      <c r="A223" s="16"/>
      <c r="B223" s="33">
        <v>155004</v>
      </c>
      <c r="C223" s="18" t="s">
        <v>50</v>
      </c>
      <c r="D223" s="19" t="s">
        <v>10</v>
      </c>
      <c r="E223" s="643"/>
      <c r="F223" s="633">
        <v>37</v>
      </c>
      <c r="G223" s="20">
        <f t="shared" si="25"/>
        <v>0</v>
      </c>
      <c r="H223" s="46">
        <f t="shared" si="26"/>
        <v>0</v>
      </c>
      <c r="I223" s="5"/>
      <c r="J223" s="5"/>
      <c r="K223" s="5"/>
      <c r="L223" s="4"/>
    </row>
    <row r="224" spans="1:15" s="435" customFormat="1" ht="16.05" customHeight="1" thickTop="1" thickBot="1" x14ac:dyDescent="0.25">
      <c r="A224" s="16"/>
      <c r="B224" s="33">
        <v>155006</v>
      </c>
      <c r="C224" s="18" t="s">
        <v>51</v>
      </c>
      <c r="D224" s="19" t="s">
        <v>10</v>
      </c>
      <c r="E224" s="643"/>
      <c r="F224" s="633">
        <v>41</v>
      </c>
      <c r="G224" s="20">
        <f t="shared" si="25"/>
        <v>0</v>
      </c>
      <c r="H224" s="46">
        <f t="shared" si="26"/>
        <v>0</v>
      </c>
      <c r="I224" s="5"/>
      <c r="J224" s="5"/>
      <c r="K224" s="5"/>
      <c r="L224" s="4"/>
    </row>
    <row r="225" spans="1:12" s="435" customFormat="1" ht="16.05" customHeight="1" thickTop="1" thickBot="1" x14ac:dyDescent="0.25">
      <c r="A225" s="16"/>
      <c r="B225" s="33">
        <v>155008</v>
      </c>
      <c r="C225" s="18" t="s">
        <v>52</v>
      </c>
      <c r="D225" s="19" t="s">
        <v>10</v>
      </c>
      <c r="E225" s="643"/>
      <c r="F225" s="633">
        <v>45</v>
      </c>
      <c r="G225" s="20">
        <f t="shared" si="25"/>
        <v>0</v>
      </c>
      <c r="H225" s="46">
        <f t="shared" si="26"/>
        <v>0</v>
      </c>
      <c r="I225" s="5"/>
      <c r="J225" s="5"/>
      <c r="K225" s="5"/>
      <c r="L225" s="4"/>
    </row>
    <row r="226" spans="1:12" ht="16.05" customHeight="1" thickTop="1" thickBot="1" x14ac:dyDescent="0.25">
      <c r="A226" s="16"/>
      <c r="B226" s="33">
        <v>155010</v>
      </c>
      <c r="C226" s="18" t="s">
        <v>53</v>
      </c>
      <c r="D226" s="19" t="s">
        <v>10</v>
      </c>
      <c r="E226" s="643"/>
      <c r="F226" s="633">
        <v>48</v>
      </c>
      <c r="G226" s="20">
        <f t="shared" si="25"/>
        <v>0</v>
      </c>
      <c r="H226" s="46">
        <f t="shared" si="26"/>
        <v>0</v>
      </c>
      <c r="L226" s="4"/>
    </row>
    <row r="227" spans="1:12" ht="16.05" customHeight="1" thickTop="1" thickBot="1" x14ac:dyDescent="0.25">
      <c r="A227" s="16"/>
      <c r="B227" s="33">
        <v>155014</v>
      </c>
      <c r="C227" s="18" t="s">
        <v>54</v>
      </c>
      <c r="D227" s="19" t="s">
        <v>10</v>
      </c>
      <c r="E227" s="643"/>
      <c r="F227" s="633">
        <v>54</v>
      </c>
      <c r="G227" s="20">
        <f t="shared" si="25"/>
        <v>0</v>
      </c>
      <c r="H227" s="46">
        <f t="shared" si="26"/>
        <v>0</v>
      </c>
      <c r="L227" s="4"/>
    </row>
    <row r="228" spans="1:12" ht="16.05" customHeight="1" thickTop="1" thickBot="1" x14ac:dyDescent="0.25">
      <c r="A228" s="16"/>
      <c r="B228" s="33">
        <v>155018</v>
      </c>
      <c r="C228" s="18" t="s">
        <v>55</v>
      </c>
      <c r="D228" s="19" t="s">
        <v>10</v>
      </c>
      <c r="E228" s="643"/>
      <c r="F228" s="633">
        <v>63</v>
      </c>
      <c r="G228" s="20">
        <f t="shared" si="25"/>
        <v>0</v>
      </c>
      <c r="H228" s="46">
        <f t="shared" si="26"/>
        <v>0</v>
      </c>
      <c r="L228" s="4"/>
    </row>
    <row r="229" spans="1:12" ht="16.05" customHeight="1" thickTop="1" thickBot="1" x14ac:dyDescent="0.25">
      <c r="A229" s="16"/>
      <c r="B229" s="33">
        <v>155022</v>
      </c>
      <c r="C229" s="18" t="s">
        <v>56</v>
      </c>
      <c r="D229" s="19" t="s">
        <v>10</v>
      </c>
      <c r="E229" s="643"/>
      <c r="F229" s="633">
        <v>70</v>
      </c>
      <c r="G229" s="20">
        <f t="shared" si="25"/>
        <v>0</v>
      </c>
      <c r="H229" s="46">
        <f t="shared" si="26"/>
        <v>0</v>
      </c>
      <c r="L229" s="4"/>
    </row>
    <row r="230" spans="1:12" ht="16.05" customHeight="1" thickTop="1" thickBot="1" x14ac:dyDescent="0.25">
      <c r="A230" s="16"/>
      <c r="B230" s="33">
        <v>155026</v>
      </c>
      <c r="C230" s="18" t="s">
        <v>57</v>
      </c>
      <c r="D230" s="19" t="s">
        <v>10</v>
      </c>
      <c r="E230" s="643"/>
      <c r="F230" s="633">
        <v>78</v>
      </c>
      <c r="G230" s="20">
        <f t="shared" si="25"/>
        <v>0</v>
      </c>
      <c r="H230" s="46">
        <f t="shared" si="26"/>
        <v>0</v>
      </c>
      <c r="L230" s="4"/>
    </row>
    <row r="231" spans="1:12" ht="16.05" customHeight="1" thickTop="1" thickBot="1" x14ac:dyDescent="0.25">
      <c r="A231" s="16"/>
      <c r="B231" s="33">
        <v>155030</v>
      </c>
      <c r="C231" s="18" t="s">
        <v>58</v>
      </c>
      <c r="D231" s="19" t="s">
        <v>10</v>
      </c>
      <c r="E231" s="643"/>
      <c r="F231" s="633">
        <v>90</v>
      </c>
      <c r="G231" s="20">
        <f t="shared" si="25"/>
        <v>0</v>
      </c>
      <c r="H231" s="46">
        <f t="shared" si="26"/>
        <v>0</v>
      </c>
      <c r="L231" s="4"/>
    </row>
    <row r="232" spans="1:12" ht="16.05" customHeight="1" thickTop="1" thickBot="1" x14ac:dyDescent="0.25">
      <c r="A232" s="16"/>
      <c r="B232" s="33">
        <v>155034</v>
      </c>
      <c r="C232" s="18" t="s">
        <v>59</v>
      </c>
      <c r="D232" s="19" t="s">
        <v>10</v>
      </c>
      <c r="E232" s="643"/>
      <c r="F232" s="633">
        <v>96</v>
      </c>
      <c r="G232" s="20">
        <f t="shared" si="25"/>
        <v>0</v>
      </c>
      <c r="H232" s="46">
        <f t="shared" si="26"/>
        <v>0</v>
      </c>
      <c r="L232" s="4"/>
    </row>
    <row r="233" spans="1:12" ht="16.05" customHeight="1" thickTop="1" thickBot="1" x14ac:dyDescent="0.25">
      <c r="A233" s="16"/>
      <c r="B233" s="33">
        <v>155040</v>
      </c>
      <c r="C233" s="18" t="s">
        <v>60</v>
      </c>
      <c r="D233" s="19" t="s">
        <v>10</v>
      </c>
      <c r="E233" s="643"/>
      <c r="F233" s="633">
        <v>106</v>
      </c>
      <c r="G233" s="20">
        <f t="shared" si="25"/>
        <v>0</v>
      </c>
      <c r="H233" s="46">
        <f t="shared" si="26"/>
        <v>0</v>
      </c>
      <c r="L233" s="4"/>
    </row>
    <row r="234" spans="1:12" ht="16.05" customHeight="1" thickTop="1" thickBot="1" x14ac:dyDescent="0.25">
      <c r="A234" s="16"/>
      <c r="B234" s="33">
        <v>155048</v>
      </c>
      <c r="C234" s="18" t="s">
        <v>61</v>
      </c>
      <c r="D234" s="19" t="s">
        <v>10</v>
      </c>
      <c r="E234" s="643"/>
      <c r="F234" s="633">
        <v>119</v>
      </c>
      <c r="G234" s="20">
        <f t="shared" si="25"/>
        <v>0</v>
      </c>
      <c r="H234" s="46">
        <f t="shared" si="26"/>
        <v>0</v>
      </c>
      <c r="L234" s="4"/>
    </row>
    <row r="235" spans="1:12" ht="16.05" customHeight="1" thickTop="1" thickBot="1" x14ac:dyDescent="0.25">
      <c r="A235" s="476" t="s">
        <v>412</v>
      </c>
      <c r="B235" s="474"/>
      <c r="C235" s="474"/>
      <c r="D235" s="474"/>
      <c r="E235" s="475"/>
      <c r="F235" s="637"/>
      <c r="G235" s="477"/>
      <c r="H235" s="368">
        <f>SUM(H236:H242)</f>
        <v>0</v>
      </c>
      <c r="L235" s="4"/>
    </row>
    <row r="236" spans="1:12" ht="16.05" customHeight="1" thickTop="1" thickBot="1" x14ac:dyDescent="0.25">
      <c r="A236" s="17"/>
      <c r="B236" s="17">
        <v>120309</v>
      </c>
      <c r="C236" s="18" t="s">
        <v>413</v>
      </c>
      <c r="D236" s="19" t="s">
        <v>10</v>
      </c>
      <c r="E236" s="721"/>
      <c r="F236" s="633">
        <v>35</v>
      </c>
      <c r="G236" s="20">
        <f>E236*F236</f>
        <v>0</v>
      </c>
      <c r="H236" s="368">
        <f t="shared" ref="H236:H242" si="27">E236</f>
        <v>0</v>
      </c>
      <c r="L236" s="4"/>
    </row>
    <row r="237" spans="1:12" ht="16.05" customHeight="1" thickTop="1" thickBot="1" x14ac:dyDescent="0.25">
      <c r="A237" s="17"/>
      <c r="B237" s="17">
        <v>120459</v>
      </c>
      <c r="C237" s="18" t="s">
        <v>414</v>
      </c>
      <c r="D237" s="19" t="s">
        <v>10</v>
      </c>
      <c r="E237" s="721"/>
      <c r="F237" s="633">
        <v>45</v>
      </c>
      <c r="G237" s="20">
        <f t="shared" ref="G237:G242" si="28">E237*F237</f>
        <v>0</v>
      </c>
      <c r="H237" s="368">
        <f t="shared" si="27"/>
        <v>0</v>
      </c>
      <c r="L237" s="4"/>
    </row>
    <row r="238" spans="1:12" ht="16.05" customHeight="1" thickTop="1" thickBot="1" x14ac:dyDescent="0.25">
      <c r="A238" s="17"/>
      <c r="B238" s="17">
        <v>120609</v>
      </c>
      <c r="C238" s="18" t="s">
        <v>415</v>
      </c>
      <c r="D238" s="19" t="s">
        <v>10</v>
      </c>
      <c r="E238" s="721"/>
      <c r="F238" s="633">
        <v>57</v>
      </c>
      <c r="G238" s="20">
        <f t="shared" si="28"/>
        <v>0</v>
      </c>
      <c r="H238" s="368">
        <f t="shared" si="27"/>
        <v>0</v>
      </c>
      <c r="L238" s="4"/>
    </row>
    <row r="239" spans="1:12" ht="16.05" customHeight="1" thickTop="1" thickBot="1" x14ac:dyDescent="0.25">
      <c r="A239" s="17"/>
      <c r="B239" s="17">
        <v>120759</v>
      </c>
      <c r="C239" s="18" t="s">
        <v>416</v>
      </c>
      <c r="D239" s="19" t="s">
        <v>10</v>
      </c>
      <c r="E239" s="721"/>
      <c r="F239" s="633">
        <v>67</v>
      </c>
      <c r="G239" s="20">
        <f t="shared" si="28"/>
        <v>0</v>
      </c>
      <c r="H239" s="368">
        <f t="shared" si="27"/>
        <v>0</v>
      </c>
      <c r="L239" s="4"/>
    </row>
    <row r="240" spans="1:12" ht="16.05" customHeight="1" thickTop="1" thickBot="1" x14ac:dyDescent="0.25">
      <c r="A240" s="17"/>
      <c r="B240" s="17">
        <v>120909</v>
      </c>
      <c r="C240" s="18" t="s">
        <v>417</v>
      </c>
      <c r="D240" s="19" t="s">
        <v>10</v>
      </c>
      <c r="E240" s="721"/>
      <c r="F240" s="633">
        <v>74</v>
      </c>
      <c r="G240" s="20">
        <f t="shared" si="28"/>
        <v>0</v>
      </c>
      <c r="H240" s="368">
        <f t="shared" si="27"/>
        <v>0</v>
      </c>
      <c r="L240" s="4"/>
    </row>
    <row r="241" spans="1:12" ht="16.05" customHeight="1" thickTop="1" thickBot="1" x14ac:dyDescent="0.25">
      <c r="A241" s="17"/>
      <c r="B241" s="17">
        <v>121209</v>
      </c>
      <c r="C241" s="18" t="s">
        <v>418</v>
      </c>
      <c r="D241" s="19" t="s">
        <v>10</v>
      </c>
      <c r="E241" s="721"/>
      <c r="F241" s="633">
        <v>99</v>
      </c>
      <c r="G241" s="20">
        <f t="shared" si="28"/>
        <v>0</v>
      </c>
      <c r="H241" s="368">
        <f t="shared" si="27"/>
        <v>0</v>
      </c>
      <c r="L241" s="4"/>
    </row>
    <row r="242" spans="1:12" ht="16.05" customHeight="1" thickTop="1" thickBot="1" x14ac:dyDescent="0.25">
      <c r="A242" s="17"/>
      <c r="B242" s="17">
        <v>121509</v>
      </c>
      <c r="C242" s="18" t="s">
        <v>419</v>
      </c>
      <c r="D242" s="19" t="s">
        <v>10</v>
      </c>
      <c r="E242" s="721"/>
      <c r="F242" s="633">
        <v>123</v>
      </c>
      <c r="G242" s="20">
        <f t="shared" si="28"/>
        <v>0</v>
      </c>
      <c r="H242" s="368">
        <f t="shared" si="27"/>
        <v>0</v>
      </c>
      <c r="L242" s="4"/>
    </row>
    <row r="243" spans="1:12" ht="16.05" customHeight="1" thickTop="1" thickBot="1" x14ac:dyDescent="0.25">
      <c r="A243" s="805" t="s">
        <v>18</v>
      </c>
      <c r="B243" s="806"/>
      <c r="C243" s="806"/>
      <c r="D243" s="806"/>
      <c r="E243" s="806"/>
      <c r="F243" s="806"/>
      <c r="G243" s="28">
        <f>SUM(G19:G242)</f>
        <v>0</v>
      </c>
      <c r="H243" s="58"/>
    </row>
    <row r="244" spans="1:12" ht="16.05" customHeight="1" thickTop="1" thickBot="1" x14ac:dyDescent="0.25">
      <c r="A244" s="458">
        <v>0</v>
      </c>
      <c r="B244" s="744" t="s">
        <v>70</v>
      </c>
      <c r="C244" s="744"/>
      <c r="D244" s="744"/>
      <c r="E244" s="744"/>
      <c r="F244" s="745"/>
      <c r="G244" s="77">
        <f>G243*(1-A244)</f>
        <v>0</v>
      </c>
    </row>
    <row r="245" spans="1:12" ht="16.05" customHeight="1" thickTop="1" thickBot="1" x14ac:dyDescent="0.25">
      <c r="A245" s="14" t="s">
        <v>19</v>
      </c>
      <c r="B245" s="459"/>
      <c r="C245" s="459"/>
      <c r="D245" s="459"/>
      <c r="E245" s="459"/>
      <c r="F245" s="459"/>
      <c r="G245" s="77">
        <f>G244*1.21</f>
        <v>0</v>
      </c>
    </row>
    <row r="246" spans="1:12" ht="12" thickTop="1" x14ac:dyDescent="0.2"/>
    <row r="251" spans="1:12" x14ac:dyDescent="0.2">
      <c r="A251" s="732" t="s">
        <v>20</v>
      </c>
      <c r="B251" s="732"/>
      <c r="C251" s="732"/>
      <c r="D251" s="732"/>
      <c r="E251" s="732"/>
      <c r="F251" s="732"/>
      <c r="G251" s="732"/>
    </row>
    <row r="252" spans="1:12" ht="27.45" customHeight="1" x14ac:dyDescent="0.2">
      <c r="A252" s="733" t="s">
        <v>141</v>
      </c>
      <c r="B252" s="733"/>
      <c r="C252" s="733"/>
      <c r="D252" s="733"/>
      <c r="E252" s="733"/>
      <c r="F252" s="733"/>
      <c r="G252" s="733"/>
    </row>
    <row r="253" spans="1:12" ht="7.5" customHeight="1" x14ac:dyDescent="0.3">
      <c r="A253" s="53"/>
      <c r="B253" s="67"/>
      <c r="C253" s="67"/>
      <c r="D253" s="67"/>
      <c r="E253" s="67"/>
      <c r="F253" s="67"/>
      <c r="G253" s="67"/>
    </row>
    <row r="254" spans="1:12" ht="16.05" customHeight="1" x14ac:dyDescent="0.2">
      <c r="A254" s="1" t="s">
        <v>21</v>
      </c>
      <c r="B254" s="53"/>
      <c r="C254" s="53"/>
      <c r="D254" s="53"/>
      <c r="E254" s="53"/>
      <c r="F254" s="53"/>
      <c r="G254" s="53"/>
      <c r="H254" s="435"/>
    </row>
    <row r="255" spans="1:12" ht="16.05" customHeight="1" x14ac:dyDescent="0.2">
      <c r="A255" s="953" t="s">
        <v>142</v>
      </c>
      <c r="B255" s="953"/>
      <c r="C255" s="953"/>
      <c r="D255" s="953"/>
      <c r="E255" s="953"/>
      <c r="F255" s="953"/>
      <c r="G255" s="953"/>
      <c r="H255" s="435"/>
    </row>
    <row r="256" spans="1:12" ht="16.05" customHeight="1" x14ac:dyDescent="0.2">
      <c r="A256" s="953" t="s">
        <v>22</v>
      </c>
      <c r="B256" s="953"/>
      <c r="C256" s="953"/>
      <c r="D256" s="953"/>
      <c r="E256" s="953"/>
      <c r="F256" s="953"/>
      <c r="G256" s="953"/>
      <c r="H256" s="435"/>
    </row>
    <row r="257" spans="1:8" ht="16.05" customHeight="1" x14ac:dyDescent="0.2">
      <c r="A257" s="953" t="s">
        <v>23</v>
      </c>
      <c r="B257" s="953"/>
      <c r="C257" s="953"/>
      <c r="D257" s="953"/>
      <c r="E257" s="953"/>
      <c r="F257" s="953"/>
      <c r="G257" s="953"/>
      <c r="H257" s="435"/>
    </row>
    <row r="258" spans="1:8" ht="16.05" customHeight="1" x14ac:dyDescent="0.2"/>
    <row r="259" spans="1:8" ht="16.05" customHeight="1" x14ac:dyDescent="0.2">
      <c r="B259" s="1" t="s">
        <v>11</v>
      </c>
      <c r="C259" s="2"/>
    </row>
    <row r="260" spans="1:8" ht="14.4" x14ac:dyDescent="0.2">
      <c r="B260" s="749"/>
      <c r="C260" s="750"/>
    </row>
    <row r="261" spans="1:8" ht="14.4" x14ac:dyDescent="0.2">
      <c r="B261" s="749"/>
      <c r="C261" s="750"/>
    </row>
    <row r="262" spans="1:8" ht="14.4" x14ac:dyDescent="0.3">
      <c r="B262" s="954"/>
      <c r="C262" s="740"/>
    </row>
    <row r="263" spans="1:8" x14ac:dyDescent="0.2">
      <c r="B263" s="6" t="s">
        <v>12</v>
      </c>
    </row>
    <row r="264" spans="1:8" x14ac:dyDescent="0.2">
      <c r="B264" s="6"/>
    </row>
  </sheetData>
  <autoFilter ref="H17:H245" xr:uid="{00000000-0009-0000-0000-000000000000}"/>
  <mergeCells count="25">
    <mergeCell ref="A7:C7"/>
    <mergeCell ref="C1:G1"/>
    <mergeCell ref="A2:C2"/>
    <mergeCell ref="A4:C4"/>
    <mergeCell ref="A5:C5"/>
    <mergeCell ref="A6:C6"/>
    <mergeCell ref="A243:F243"/>
    <mergeCell ref="A8:C8"/>
    <mergeCell ref="A9:C9"/>
    <mergeCell ref="A10:F10"/>
    <mergeCell ref="A15:G15"/>
    <mergeCell ref="B16:B17"/>
    <mergeCell ref="C16:C17"/>
    <mergeCell ref="D16:D17"/>
    <mergeCell ref="E16:E17"/>
    <mergeCell ref="A11:G11"/>
    <mergeCell ref="A257:G257"/>
    <mergeCell ref="B260:C260"/>
    <mergeCell ref="B261:C261"/>
    <mergeCell ref="B262:C262"/>
    <mergeCell ref="B244:F244"/>
    <mergeCell ref="A251:G251"/>
    <mergeCell ref="A252:G252"/>
    <mergeCell ref="A255:G255"/>
    <mergeCell ref="A256:G256"/>
  </mergeCells>
  <hyperlinks>
    <hyperlink ref="B263" r:id="rId1" xr:uid="{69004FF1-59FF-4D9A-8D25-DBA6F07922BE}"/>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BFA88-A7F9-4C75-925F-F51E1A119FD8}">
  <sheetPr>
    <tabColor rgb="FF43CEFF"/>
  </sheetPr>
  <dimension ref="A1:AE311"/>
  <sheetViews>
    <sheetView zoomScaleNormal="100" zoomScaleSheetLayoutView="100" workbookViewId="0">
      <selection activeCell="M2" sqref="M2"/>
    </sheetView>
  </sheetViews>
  <sheetFormatPr defaultColWidth="9.21875" defaultRowHeight="11.4" x14ac:dyDescent="0.2"/>
  <cols>
    <col min="1" max="1" width="5.44140625" style="5" customWidth="1"/>
    <col min="2" max="2" width="9.21875" style="5" customWidth="1"/>
    <col min="3" max="3" width="49.44140625" style="5" customWidth="1"/>
    <col min="4" max="4" width="9.77734375" style="5" customWidth="1"/>
    <col min="5" max="5" width="6.44140625" style="5" customWidth="1"/>
    <col min="6" max="6" width="10" style="5" customWidth="1"/>
    <col min="7" max="7" width="14.77734375" style="5" customWidth="1"/>
    <col min="8" max="8" width="9" style="5" customWidth="1"/>
    <col min="9" max="9" width="5" style="5" customWidth="1"/>
    <col min="10" max="10" width="4" style="5" customWidth="1"/>
    <col min="11" max="11" width="3.77734375" style="5" customWidth="1"/>
    <col min="12" max="12" width="10.21875" style="5" customWidth="1"/>
    <col min="13" max="13" width="10.44140625" style="5" customWidth="1"/>
    <col min="14" max="14" width="9.5546875" style="5" customWidth="1"/>
    <col min="15" max="15" width="7" style="387" customWidth="1"/>
    <col min="16" max="16" width="5.44140625" style="5" customWidth="1"/>
    <col min="17" max="17" width="11.6640625" style="5" customWidth="1"/>
    <col min="18" max="19" width="9.21875" style="5"/>
    <col min="20" max="20" width="6.44140625" style="5" customWidth="1"/>
    <col min="21" max="21" width="5.21875" style="5" customWidth="1"/>
    <col min="22" max="16384" width="9.21875" style="5"/>
  </cols>
  <sheetData>
    <row r="1" spans="1:19" ht="127.5" customHeight="1" x14ac:dyDescent="0.2">
      <c r="C1" s="734" t="s">
        <v>449</v>
      </c>
      <c r="D1" s="734"/>
      <c r="E1" s="734"/>
      <c r="F1" s="734"/>
      <c r="G1" s="734"/>
      <c r="H1" s="8"/>
      <c r="I1" s="8"/>
      <c r="J1" s="8"/>
      <c r="K1" s="8"/>
    </row>
    <row r="2" spans="1:19" ht="14.4" x14ac:dyDescent="0.3">
      <c r="A2" s="739" t="s">
        <v>493</v>
      </c>
      <c r="B2" s="740"/>
      <c r="C2" s="740"/>
    </row>
    <row r="3" spans="1:19" ht="7.5" customHeight="1" x14ac:dyDescent="0.2">
      <c r="A3" s="2"/>
    </row>
    <row r="4" spans="1:19" ht="13.95" customHeight="1" x14ac:dyDescent="0.3">
      <c r="A4" s="739" t="s">
        <v>77</v>
      </c>
      <c r="B4" s="740"/>
      <c r="C4" s="740"/>
    </row>
    <row r="5" spans="1:19" ht="15" customHeight="1" x14ac:dyDescent="0.3">
      <c r="A5" s="739" t="s">
        <v>15</v>
      </c>
      <c r="B5" s="740"/>
      <c r="C5" s="740"/>
    </row>
    <row r="6" spans="1:19" ht="14.4" x14ac:dyDescent="0.3">
      <c r="A6" s="739" t="s">
        <v>13</v>
      </c>
      <c r="B6" s="740"/>
      <c r="C6" s="740"/>
    </row>
    <row r="7" spans="1:19" ht="14.4" x14ac:dyDescent="0.3">
      <c r="A7" s="739" t="s">
        <v>17</v>
      </c>
      <c r="B7" s="740"/>
      <c r="C7" s="740"/>
      <c r="I7" s="439"/>
      <c r="J7" s="439"/>
      <c r="K7" s="439"/>
      <c r="L7" s="439"/>
      <c r="M7" s="439"/>
      <c r="N7" s="439"/>
      <c r="O7" s="514"/>
      <c r="P7" s="439"/>
      <c r="Q7" s="439"/>
      <c r="R7" s="439"/>
      <c r="S7" s="439"/>
    </row>
    <row r="8" spans="1:19" x14ac:dyDescent="0.2">
      <c r="I8" s="439"/>
      <c r="J8" s="439"/>
      <c r="K8" s="439"/>
      <c r="L8" s="439"/>
      <c r="M8" s="439"/>
      <c r="N8" s="439"/>
      <c r="O8" s="514"/>
      <c r="P8" s="439"/>
      <c r="Q8" s="439"/>
      <c r="R8" s="439"/>
      <c r="S8" s="439"/>
    </row>
    <row r="9" spans="1:19" ht="16.05" customHeight="1" x14ac:dyDescent="0.2">
      <c r="A9" s="735" t="s">
        <v>0</v>
      </c>
      <c r="B9" s="735"/>
      <c r="C9" s="735"/>
      <c r="D9" s="735"/>
      <c r="E9" s="735"/>
      <c r="F9" s="735"/>
      <c r="G9" s="27"/>
      <c r="H9" s="3"/>
      <c r="I9" s="516"/>
      <c r="J9" s="513"/>
      <c r="K9" s="513"/>
      <c r="L9" s="513"/>
      <c r="M9" s="513"/>
      <c r="N9" s="513"/>
      <c r="O9" s="514"/>
      <c r="P9" s="439"/>
      <c r="Q9" s="439"/>
      <c r="R9" s="439"/>
      <c r="S9" s="439"/>
    </row>
    <row r="10" spans="1:19" ht="27.45" customHeight="1" thickBot="1" x14ac:dyDescent="0.25">
      <c r="A10" s="735" t="s">
        <v>287</v>
      </c>
      <c r="B10" s="735"/>
      <c r="C10" s="735"/>
      <c r="D10" s="735"/>
      <c r="E10" s="735"/>
      <c r="F10" s="735"/>
      <c r="G10" s="763"/>
      <c r="H10" s="3"/>
      <c r="I10" s="516"/>
      <c r="J10" s="513"/>
      <c r="K10" s="513"/>
      <c r="L10" s="513"/>
      <c r="M10" s="513"/>
      <c r="N10" s="513"/>
      <c r="O10" s="514"/>
      <c r="P10" s="439"/>
      <c r="Q10" s="439"/>
      <c r="R10" s="439"/>
      <c r="S10" s="439"/>
    </row>
    <row r="11" spans="1:19" ht="18" customHeight="1" thickTop="1" thickBot="1" x14ac:dyDescent="0.35">
      <c r="A11" s="53"/>
      <c r="B11" s="53"/>
      <c r="C11" s="53"/>
      <c r="D11" s="764" t="s">
        <v>288</v>
      </c>
      <c r="E11" s="556" t="s">
        <v>155</v>
      </c>
      <c r="F11" s="767" t="s">
        <v>289</v>
      </c>
      <c r="G11" s="768"/>
      <c r="H11" s="517"/>
      <c r="I11" s="541"/>
      <c r="J11" s="542"/>
      <c r="K11" s="542"/>
      <c r="L11" s="754" t="s">
        <v>456</v>
      </c>
      <c r="M11" s="755"/>
      <c r="N11" s="755"/>
      <c r="O11" s="755"/>
      <c r="P11" s="755"/>
      <c r="Q11" s="756"/>
      <c r="R11"/>
      <c r="S11" s="439"/>
    </row>
    <row r="12" spans="1:19" ht="18" customHeight="1" thickBot="1" x14ac:dyDescent="0.25">
      <c r="A12" s="53"/>
      <c r="B12" s="53"/>
      <c r="C12" s="53"/>
      <c r="D12" s="765"/>
      <c r="E12" s="557"/>
      <c r="F12" s="792" t="s">
        <v>458</v>
      </c>
      <c r="G12" s="793"/>
      <c r="H12" s="517"/>
      <c r="I12" s="541"/>
      <c r="J12" s="542"/>
      <c r="K12" s="542"/>
      <c r="L12" s="542" t="s">
        <v>451</v>
      </c>
      <c r="M12" s="542"/>
      <c r="N12" s="542"/>
      <c r="O12" s="543"/>
      <c r="P12" s="542"/>
      <c r="Q12" s="542"/>
      <c r="R12" s="439"/>
      <c r="S12" s="439"/>
    </row>
    <row r="13" spans="1:19" ht="18" customHeight="1" thickBot="1" x14ac:dyDescent="0.25">
      <c r="A13" s="53"/>
      <c r="B13" s="53"/>
      <c r="C13" s="53"/>
      <c r="D13" s="766"/>
      <c r="E13" s="558"/>
      <c r="F13" s="769" t="s">
        <v>457</v>
      </c>
      <c r="G13" s="770"/>
      <c r="H13" s="517"/>
      <c r="I13" s="544"/>
      <c r="J13" s="545"/>
      <c r="K13" s="545"/>
      <c r="L13" s="542" t="s">
        <v>452</v>
      </c>
      <c r="M13" s="545"/>
      <c r="N13" s="545"/>
      <c r="O13" s="543"/>
      <c r="P13" s="542"/>
      <c r="Q13" s="542"/>
      <c r="R13" s="439"/>
      <c r="S13" s="439"/>
    </row>
    <row r="14" spans="1:19" ht="18" customHeight="1" thickTop="1" thickBot="1" x14ac:dyDescent="0.25">
      <c r="A14" s="53"/>
      <c r="B14" s="53"/>
      <c r="C14" s="53"/>
      <c r="D14" s="53"/>
      <c r="E14" s="53"/>
      <c r="F14" s="53"/>
      <c r="G14" s="9"/>
      <c r="H14" s="517"/>
      <c r="I14" s="544"/>
      <c r="J14" s="545"/>
      <c r="K14" s="545"/>
      <c r="L14" s="542" t="s">
        <v>453</v>
      </c>
      <c r="M14" s="545"/>
      <c r="N14" s="545"/>
      <c r="O14" s="543"/>
      <c r="P14" s="542"/>
      <c r="Q14" s="542"/>
      <c r="R14" s="439"/>
      <c r="S14" s="439"/>
    </row>
    <row r="15" spans="1:19" ht="18" customHeight="1" thickTop="1" thickBot="1" x14ac:dyDescent="0.25">
      <c r="A15" s="3"/>
      <c r="B15" s="3"/>
      <c r="C15" s="3"/>
      <c r="D15" s="757" t="s">
        <v>431</v>
      </c>
      <c r="E15" s="759" t="s">
        <v>154</v>
      </c>
      <c r="F15" s="760"/>
      <c r="G15" s="562"/>
      <c r="H15" s="569">
        <f>G15+G16</f>
        <v>0</v>
      </c>
      <c r="I15" s="544"/>
      <c r="J15" s="545"/>
      <c r="K15" s="545"/>
      <c r="L15" s="545"/>
      <c r="M15" s="545"/>
      <c r="N15" s="545"/>
      <c r="O15" s="543"/>
      <c r="P15" s="542"/>
      <c r="Q15" s="542"/>
      <c r="R15" s="439"/>
      <c r="S15" s="439"/>
    </row>
    <row r="16" spans="1:19" ht="18" customHeight="1" thickTop="1" thickBot="1" x14ac:dyDescent="0.25">
      <c r="A16" s="3"/>
      <c r="B16" s="3"/>
      <c r="C16" s="3"/>
      <c r="D16" s="758"/>
      <c r="E16" s="761" t="s">
        <v>153</v>
      </c>
      <c r="F16" s="762"/>
      <c r="G16" s="561"/>
      <c r="H16" s="366"/>
      <c r="I16" s="516"/>
      <c r="J16" s="513"/>
      <c r="K16" s="513"/>
      <c r="L16" s="513"/>
      <c r="M16" s="513"/>
      <c r="N16" s="513"/>
      <c r="O16" s="514"/>
      <c r="P16" s="439"/>
      <c r="Q16" s="439"/>
      <c r="R16" s="439"/>
      <c r="S16" s="439"/>
    </row>
    <row r="17" spans="1:19" ht="18" customHeight="1" thickTop="1" x14ac:dyDescent="0.2">
      <c r="A17" s="3"/>
      <c r="B17" s="3"/>
      <c r="C17" s="3"/>
      <c r="D17" s="551"/>
      <c r="E17" s="1"/>
      <c r="F17" s="552"/>
      <c r="G17" s="61"/>
      <c r="H17" s="3"/>
      <c r="I17" s="516"/>
      <c r="J17" s="513"/>
      <c r="K17" s="513"/>
      <c r="L17" s="513"/>
      <c r="M17" s="513"/>
      <c r="N17" s="513"/>
      <c r="O17" s="514"/>
      <c r="P17" s="439"/>
      <c r="Q17" s="439"/>
      <c r="R17" s="439"/>
      <c r="S17" s="439"/>
    </row>
    <row r="18" spans="1:19" ht="18" customHeight="1" x14ac:dyDescent="0.3">
      <c r="A18" s="3"/>
      <c r="B18" s="3"/>
      <c r="C18" s="3"/>
      <c r="D18" s="774"/>
      <c r="E18" s="555"/>
      <c r="F18" s="776"/>
      <c r="G18" s="777"/>
      <c r="H18" s="3"/>
      <c r="I18" s="516"/>
      <c r="J18" s="513"/>
      <c r="K18" s="513"/>
      <c r="L18" s="513"/>
      <c r="M18" s="513"/>
      <c r="N18" s="513"/>
      <c r="O18" s="514"/>
      <c r="P18" s="439"/>
      <c r="Q18" s="439"/>
      <c r="R18" s="439"/>
      <c r="S18" s="439"/>
    </row>
    <row r="19" spans="1:19" ht="18" customHeight="1" x14ac:dyDescent="0.3">
      <c r="A19" s="3"/>
      <c r="B19" s="3"/>
      <c r="C19" s="3"/>
      <c r="D19" s="775"/>
      <c r="E19" s="549"/>
      <c r="F19" s="776"/>
      <c r="G19" s="777"/>
      <c r="H19" s="3"/>
      <c r="I19" s="516"/>
      <c r="J19" s="513"/>
      <c r="K19" s="513"/>
      <c r="L19" s="513"/>
      <c r="M19" s="513"/>
      <c r="N19" s="513"/>
      <c r="O19" s="514"/>
      <c r="P19" s="439"/>
      <c r="Q19" s="439"/>
      <c r="R19" s="439"/>
      <c r="S19" s="439"/>
    </row>
    <row r="20" spans="1:19" ht="18" customHeight="1" x14ac:dyDescent="0.3">
      <c r="A20" s="3"/>
      <c r="B20" s="3"/>
      <c r="C20" s="3"/>
      <c r="D20" s="548"/>
      <c r="E20" s="549"/>
      <c r="F20" s="79"/>
      <c r="G20" s="550"/>
      <c r="H20" s="3"/>
      <c r="I20" s="516"/>
      <c r="J20" s="513"/>
      <c r="K20" s="513"/>
      <c r="L20" s="513"/>
      <c r="M20" s="513"/>
      <c r="N20" s="513"/>
      <c r="O20" s="514"/>
      <c r="P20" s="439"/>
      <c r="Q20" s="439"/>
      <c r="R20" s="439"/>
      <c r="S20" s="439"/>
    </row>
    <row r="21" spans="1:19" ht="27" customHeight="1" thickBot="1" x14ac:dyDescent="0.45">
      <c r="A21" s="778" t="s">
        <v>430</v>
      </c>
      <c r="B21" s="779"/>
      <c r="C21" s="779"/>
      <c r="D21" s="779"/>
      <c r="E21" s="779"/>
      <c r="F21" s="779"/>
      <c r="G21" s="779"/>
      <c r="H21" s="4"/>
      <c r="I21" s="513"/>
      <c r="J21" s="513"/>
      <c r="K21" s="513"/>
      <c r="L21" s="513"/>
      <c r="M21" s="513"/>
      <c r="N21" s="513"/>
      <c r="O21" s="514"/>
      <c r="P21" s="439"/>
      <c r="Q21" s="439"/>
      <c r="R21" s="439"/>
      <c r="S21" s="439"/>
    </row>
    <row r="22" spans="1:19" ht="24.75" customHeight="1" thickTop="1" thickBot="1" x14ac:dyDescent="0.25">
      <c r="A22" s="26" t="s">
        <v>1</v>
      </c>
      <c r="B22" s="737" t="s">
        <v>3</v>
      </c>
      <c r="C22" s="737" t="s">
        <v>4</v>
      </c>
      <c r="D22" s="737" t="s">
        <v>5</v>
      </c>
      <c r="E22" s="737" t="s">
        <v>290</v>
      </c>
      <c r="F22" s="26" t="s">
        <v>7</v>
      </c>
      <c r="G22" s="26" t="s">
        <v>9</v>
      </c>
      <c r="H22" s="4"/>
      <c r="I22" s="4"/>
      <c r="J22" s="4"/>
      <c r="K22" s="4"/>
      <c r="L22" s="4"/>
      <c r="M22" s="4"/>
      <c r="N22" s="717"/>
    </row>
    <row r="23" spans="1:19" ht="24.75" customHeight="1" thickTop="1" thickBot="1" x14ac:dyDescent="0.25">
      <c r="A23" s="176" t="s">
        <v>2</v>
      </c>
      <c r="B23" s="738"/>
      <c r="C23" s="738"/>
      <c r="D23" s="738"/>
      <c r="E23" s="738"/>
      <c r="F23" s="176" t="s">
        <v>8</v>
      </c>
      <c r="G23" s="176" t="s">
        <v>8</v>
      </c>
      <c r="H23" s="4"/>
      <c r="I23" s="4"/>
      <c r="J23" s="4"/>
      <c r="K23" s="4"/>
      <c r="L23" s="546"/>
      <c r="M23" s="546"/>
      <c r="N23" s="4"/>
    </row>
    <row r="24" spans="1:19" ht="16.05" customHeight="1" thickTop="1" thickBot="1" x14ac:dyDescent="0.25">
      <c r="A24" s="771" t="s">
        <v>192</v>
      </c>
      <c r="B24" s="772"/>
      <c r="C24" s="772"/>
      <c r="D24" s="772"/>
      <c r="E24" s="773"/>
      <c r="F24" s="773"/>
      <c r="G24" s="13"/>
      <c r="H24" s="59">
        <f>SUM(H25:H25)</f>
        <v>0</v>
      </c>
      <c r="I24" s="513"/>
      <c r="J24" s="513"/>
      <c r="K24" s="513"/>
      <c r="L24" s="546"/>
      <c r="M24" s="85" t="s">
        <v>140</v>
      </c>
      <c r="N24" s="4"/>
      <c r="Q24" s="439"/>
      <c r="R24" s="439"/>
    </row>
    <row r="25" spans="1:19" ht="16.05" customHeight="1" thickTop="1" thickBot="1" x14ac:dyDescent="0.25">
      <c r="A25" s="523"/>
      <c r="B25" s="524">
        <v>151020</v>
      </c>
      <c r="C25" s="525" t="s">
        <v>42</v>
      </c>
      <c r="D25" s="526" t="s">
        <v>90</v>
      </c>
      <c r="E25" s="527">
        <f>IF(OR(H15="", H15=0), 0, ROUNDUP(H15*2+0.5, 0))</f>
        <v>0</v>
      </c>
      <c r="F25" s="617">
        <v>7</v>
      </c>
      <c r="G25" s="528">
        <f>E25*F25</f>
        <v>0</v>
      </c>
      <c r="H25" s="59">
        <f>E25</f>
        <v>0</v>
      </c>
      <c r="I25" s="513"/>
      <c r="J25" s="513"/>
      <c r="K25" s="513"/>
      <c r="L25" s="546"/>
      <c r="M25" s="586">
        <f>E25*20</f>
        <v>0</v>
      </c>
      <c r="N25" s="4"/>
      <c r="Q25" s="439"/>
      <c r="R25" s="439"/>
    </row>
    <row r="26" spans="1:19" ht="16.05" customHeight="1" thickTop="1" thickBot="1" x14ac:dyDescent="0.25">
      <c r="A26" s="781" t="s">
        <v>434</v>
      </c>
      <c r="B26" s="782"/>
      <c r="C26" s="782"/>
      <c r="D26" s="782"/>
      <c r="E26" s="782"/>
      <c r="F26" s="782"/>
      <c r="G26" s="389"/>
      <c r="H26" s="390">
        <f>SUM(H27:H36)</f>
        <v>0</v>
      </c>
      <c r="I26" s="513"/>
      <c r="J26" s="513"/>
      <c r="K26" s="513"/>
      <c r="L26" s="546"/>
      <c r="M26" s="586"/>
      <c r="N26" s="4"/>
      <c r="Q26" s="439"/>
      <c r="R26" s="439"/>
    </row>
    <row r="27" spans="1:19" ht="16.05" customHeight="1" thickTop="1" thickBot="1" x14ac:dyDescent="0.25">
      <c r="A27" s="532"/>
      <c r="B27" s="533">
        <v>140301</v>
      </c>
      <c r="C27" s="534" t="s">
        <v>244</v>
      </c>
      <c r="D27" s="535" t="s">
        <v>10</v>
      </c>
      <c r="E27" s="718">
        <f>IF(OR(AND(H15&gt;=5, H15&lt;=7.5), AND(H15&gt;=12.6, H15&lt;=20), AND(H15&gt;=30.1, H15&lt;=32.5), AND(H15&gt;=45.1, H15&lt;=47.5), AND(H15&gt;=50.1, H15&lt;=52.5), AND(H15&gt;=65.1, H15&lt;=67.5), AND(H15&gt;=75.1, H15&lt;=77.5), AND(H15&gt;=85.1, H15&lt;=87.5)), 1, 0)</f>
        <v>0</v>
      </c>
      <c r="F27" s="618">
        <v>29</v>
      </c>
      <c r="G27" s="522">
        <f t="shared" ref="G27:G36" si="0">E27*F27</f>
        <v>0</v>
      </c>
      <c r="H27" s="390">
        <f>E27</f>
        <v>0</v>
      </c>
      <c r="I27" s="439"/>
      <c r="J27" s="439"/>
      <c r="K27" s="439"/>
      <c r="L27" s="546"/>
      <c r="M27" s="584">
        <f>E27*300</f>
        <v>0</v>
      </c>
      <c r="N27" s="4"/>
      <c r="Q27" s="439"/>
      <c r="R27" s="439"/>
    </row>
    <row r="28" spans="1:19" ht="16.05" customHeight="1" thickBot="1" x14ac:dyDescent="0.25">
      <c r="A28" s="494"/>
      <c r="B28" s="505">
        <v>140501</v>
      </c>
      <c r="C28" s="497" t="s">
        <v>245</v>
      </c>
      <c r="D28" s="498" t="s">
        <v>10</v>
      </c>
      <c r="E28" s="719">
        <f>IF(OR(AND(H15&gt;=7.6,H15&lt;=12.5),AND(H15&gt;=12.6,H15&lt;=20),AND(H15&gt;32.6,H15&lt;=37.5),AND(H15&gt;=40.1,H15&lt;=42.5),AND(H15&gt;=52.6,H15&lt;=57.5),AND(H15&gt;=60.1,H15&lt;=62.5),AND(H15&gt;=70.1,H15&lt;=72.5),AND(H15&gt;=90.1,H15&lt;=92.5)),1,0)</f>
        <v>0</v>
      </c>
      <c r="F28" s="613">
        <v>42</v>
      </c>
      <c r="G28" s="495">
        <f t="shared" si="0"/>
        <v>0</v>
      </c>
      <c r="H28" s="390">
        <f>E28</f>
        <v>0</v>
      </c>
      <c r="I28" s="439"/>
      <c r="J28" s="439"/>
      <c r="K28" s="439"/>
      <c r="L28" s="546"/>
      <c r="M28" s="584">
        <f>E28*500</f>
        <v>0</v>
      </c>
      <c r="N28" s="4"/>
      <c r="Q28" s="439"/>
      <c r="R28" s="439"/>
    </row>
    <row r="29" spans="1:19" ht="16.05" customHeight="1" thickBot="1" x14ac:dyDescent="0.25">
      <c r="A29" s="494"/>
      <c r="B29" s="505">
        <v>141001</v>
      </c>
      <c r="C29" s="497" t="s">
        <v>246</v>
      </c>
      <c r="D29" s="498" t="s">
        <v>10</v>
      </c>
      <c r="E29" s="719">
        <f>IF(OR(AND(H15&gt;=20.1,H15&lt;=25),AND(H15&gt;=30.1,H15&lt;=37.5),AND(H15&gt;62.6,H15&lt;=65)),1,0)</f>
        <v>0</v>
      </c>
      <c r="F29" s="613">
        <v>85</v>
      </c>
      <c r="G29" s="495">
        <f t="shared" si="0"/>
        <v>0</v>
      </c>
      <c r="H29" s="59">
        <f t="shared" ref="H29:H36" si="1">E63</f>
        <v>0</v>
      </c>
      <c r="I29" s="439"/>
      <c r="J29" s="439"/>
      <c r="K29" s="439"/>
      <c r="L29" s="546"/>
      <c r="M29" s="584">
        <f>E29*1000</f>
        <v>0</v>
      </c>
      <c r="N29" s="4"/>
      <c r="Q29" s="439"/>
      <c r="R29" s="439"/>
    </row>
    <row r="30" spans="1:19" ht="16.05" customHeight="1" thickBot="1" x14ac:dyDescent="0.25">
      <c r="A30" s="494"/>
      <c r="B30" s="505">
        <v>141201</v>
      </c>
      <c r="C30" s="497" t="s">
        <v>248</v>
      </c>
      <c r="D30" s="498" t="s">
        <v>10</v>
      </c>
      <c r="E30" s="719">
        <f>IF(OR(AND(H15&gt;=25.1,H15&lt;=30),AND(H15&gt;=72.6,H15&lt;=75)),1,0)</f>
        <v>0</v>
      </c>
      <c r="F30" s="613">
        <v>104</v>
      </c>
      <c r="G30" s="495">
        <f t="shared" si="0"/>
        <v>0</v>
      </c>
      <c r="H30" s="59">
        <f t="shared" si="1"/>
        <v>0</v>
      </c>
      <c r="I30" s="439"/>
      <c r="J30" s="439"/>
      <c r="K30" s="439"/>
      <c r="L30" s="546"/>
      <c r="M30" s="584">
        <f>E30*1200</f>
        <v>0</v>
      </c>
      <c r="N30" s="4"/>
      <c r="Q30" s="439"/>
      <c r="R30" s="439"/>
    </row>
    <row r="31" spans="1:19" ht="16.05" customHeight="1" thickBot="1" x14ac:dyDescent="0.25">
      <c r="A31" s="494"/>
      <c r="B31" s="505">
        <v>141601</v>
      </c>
      <c r="C31" s="497" t="s">
        <v>247</v>
      </c>
      <c r="D31" s="498" t="s">
        <v>10</v>
      </c>
      <c r="E31" s="719">
        <f>IF(OR(AND(H15&gt;=37.6,H15&lt;=40),AND(H15&gt;=45.1,H15&lt;=47.5),AND(H15&gt;=62.6,H15&lt;=65),AND(H15&gt;=80.1,H15&lt;=85),AND(H15&gt;=87.6,H15&lt;=90),AND(H15&gt;=105.1,H15&lt;=110)),1,0)</f>
        <v>0</v>
      </c>
      <c r="F31" s="613">
        <v>145</v>
      </c>
      <c r="G31" s="495">
        <f t="shared" si="0"/>
        <v>0</v>
      </c>
      <c r="H31" s="59">
        <f t="shared" si="1"/>
        <v>0</v>
      </c>
      <c r="I31" s="439"/>
      <c r="J31" s="439"/>
      <c r="K31" s="439"/>
      <c r="L31" s="546"/>
      <c r="M31" s="584">
        <f>E31*1600</f>
        <v>0</v>
      </c>
      <c r="N31" s="4"/>
      <c r="Q31" s="439"/>
      <c r="R31" s="439"/>
    </row>
    <row r="32" spans="1:19" ht="16.05" customHeight="1" thickBot="1" x14ac:dyDescent="0.25">
      <c r="A32" s="494"/>
      <c r="B32" s="505">
        <v>141801</v>
      </c>
      <c r="C32" s="497" t="s">
        <v>253</v>
      </c>
      <c r="D32" s="498" t="s">
        <v>10</v>
      </c>
      <c r="E32" s="719">
        <f>IF(OR(AND(H15&gt;=42.6,H15&lt;=45),AND(H15&gt;=50.1,H15&lt;=52.5),AND(H15&gt;=72.6,H15&lt;=75),AND(H15&gt;=80.1,H15&lt;=85),AND(H15&gt;=92.6,H15&lt;=95),AND(H15&gt;=100.1,H15&lt;=105),AND(H15&gt;=110.1,H15&lt;=115),AND(H15&gt;=120.1,H15&lt;=125)),1,0)</f>
        <v>0</v>
      </c>
      <c r="F32" s="613">
        <v>163</v>
      </c>
      <c r="G32" s="495">
        <f t="shared" si="0"/>
        <v>0</v>
      </c>
      <c r="H32" s="59">
        <f t="shared" si="1"/>
        <v>0</v>
      </c>
      <c r="I32" s="439"/>
      <c r="J32" s="439"/>
      <c r="K32" s="439"/>
      <c r="L32" s="546"/>
      <c r="M32" s="584">
        <f>E32*1800</f>
        <v>0</v>
      </c>
      <c r="N32" s="4"/>
      <c r="Q32" s="439"/>
      <c r="R32" s="439"/>
    </row>
    <row r="33" spans="1:18" ht="16.05" customHeight="1" thickBot="1" x14ac:dyDescent="0.25">
      <c r="A33" s="494"/>
      <c r="B33" s="505">
        <v>142001</v>
      </c>
      <c r="C33" s="497" t="s">
        <v>252</v>
      </c>
      <c r="D33" s="498" t="s">
        <v>10</v>
      </c>
      <c r="E33" s="719">
        <f>IF(
   OR(
      AND(H15&gt;=47.6,H15&lt;=50),
      AND(H15&gt;=60.1,H15&lt;=62.5),
      AND(H15&gt;=87.6,H15&lt;=90),
      AND(H15&gt;=92.6,H15&lt;=95),
      AND(H15&gt;=115.1,H15&lt;=120)
   ),
   1,
   IF(AND(H15&gt;=95.11,H15&lt;=100),2,0)
)</f>
        <v>0</v>
      </c>
      <c r="F33" s="613">
        <v>182</v>
      </c>
      <c r="G33" s="495">
        <f t="shared" si="0"/>
        <v>0</v>
      </c>
      <c r="H33" s="59">
        <f t="shared" si="1"/>
        <v>0</v>
      </c>
      <c r="I33" s="439"/>
      <c r="J33" s="439"/>
      <c r="K33" s="439"/>
      <c r="L33" s="546"/>
      <c r="M33" s="584">
        <f>E33*2000</f>
        <v>0</v>
      </c>
      <c r="N33" s="4"/>
      <c r="Q33" s="439"/>
      <c r="R33" s="439"/>
    </row>
    <row r="34" spans="1:18" ht="16.05" customHeight="1" thickBot="1" x14ac:dyDescent="0.25">
      <c r="A34" s="494"/>
      <c r="B34" s="505">
        <v>142401</v>
      </c>
      <c r="C34" s="497" t="s">
        <v>251</v>
      </c>
      <c r="D34" s="498" t="s">
        <v>10</v>
      </c>
      <c r="E34" s="719">
        <f>IF(OR(AND(H15&gt;=57.6,H15&lt;=60),AND(H15&gt;=65.1,H15&lt;=67.5),AND(H15&gt;=70.1,H15&lt;=72.5),AND(H15&gt;=100.1,H15&lt;=105),AND(H15&gt;=125.1,H15&lt;=130)),1,0)</f>
        <v>0</v>
      </c>
      <c r="F34" s="613">
        <v>222</v>
      </c>
      <c r="G34" s="495">
        <f t="shared" si="0"/>
        <v>0</v>
      </c>
      <c r="H34" s="59">
        <f t="shared" si="1"/>
        <v>0</v>
      </c>
      <c r="I34" s="439"/>
      <c r="J34" s="439"/>
      <c r="K34" s="439"/>
      <c r="L34" s="546"/>
      <c r="M34" s="584">
        <f>E34*2400</f>
        <v>0</v>
      </c>
      <c r="N34" s="4"/>
      <c r="Q34" s="439"/>
      <c r="R34" s="439"/>
    </row>
    <row r="35" spans="1:18" ht="16.05" customHeight="1" thickBot="1" x14ac:dyDescent="0.25">
      <c r="A35" s="494"/>
      <c r="B35" s="505">
        <v>142801</v>
      </c>
      <c r="C35" s="497" t="s">
        <v>250</v>
      </c>
      <c r="D35" s="498" t="s">
        <v>10</v>
      </c>
      <c r="E35" s="719">
        <f>IF(
   OR(
      AND(H15&gt;=75.1,H15&lt;=77.5),
      AND(H15&gt;=105.1,H15&lt;=120),
      AND(H15&gt;=125.1,H15&lt;=130),
      AND(H15&gt;=140.1,H15&lt;=150),
      AND(H15&gt;=67.6,H15&lt;=70)
   ),
   1,
   IF(AND(H15&gt;=130.1,H15&lt;=140),2,0)
)</f>
        <v>0</v>
      </c>
      <c r="F35" s="613">
        <v>265</v>
      </c>
      <c r="G35" s="495">
        <f t="shared" si="0"/>
        <v>0</v>
      </c>
      <c r="H35" s="59">
        <f t="shared" si="1"/>
        <v>0</v>
      </c>
      <c r="I35" s="439"/>
      <c r="J35" s="439"/>
      <c r="K35" s="439"/>
      <c r="L35" s="546"/>
      <c r="M35" s="584">
        <f>E35*2800</f>
        <v>0</v>
      </c>
      <c r="N35" s="4"/>
      <c r="Q35" s="439"/>
      <c r="R35" s="439"/>
    </row>
    <row r="36" spans="1:18" ht="16.05" customHeight="1" thickBot="1" x14ac:dyDescent="0.25">
      <c r="A36" s="519"/>
      <c r="B36" s="529">
        <v>143201</v>
      </c>
      <c r="C36" s="530" t="s">
        <v>249</v>
      </c>
      <c r="D36" s="531" t="s">
        <v>10</v>
      </c>
      <c r="E36" s="720">
        <f>IF(OR(AND(H15&gt;=77.6,H15&lt;=80), AND(H15&gt;=85.1,H15&lt;=87.5), AND(H15&gt;=90.1,H15&lt;=92.5), AND(H15&gt;=120.1,H15&lt;=125), AND(H15&gt;=140.1,H15&lt;=150)), 1, IF(AND(H15&gt;=150.1,H15&lt;=160), 2, 0))</f>
        <v>0</v>
      </c>
      <c r="F36" s="615">
        <v>313</v>
      </c>
      <c r="G36" s="520">
        <f t="shared" si="0"/>
        <v>0</v>
      </c>
      <c r="H36" s="59">
        <f t="shared" si="1"/>
        <v>0</v>
      </c>
      <c r="I36" s="439"/>
      <c r="J36" s="439"/>
      <c r="K36" s="439"/>
      <c r="L36" s="546"/>
      <c r="M36" s="584">
        <f>E36*3200</f>
        <v>0</v>
      </c>
      <c r="N36" s="4"/>
      <c r="Q36" s="439"/>
      <c r="R36" s="439"/>
    </row>
    <row r="37" spans="1:18" ht="16.05" customHeight="1" thickTop="1" thickBot="1" x14ac:dyDescent="0.25">
      <c r="A37" s="781" t="s">
        <v>460</v>
      </c>
      <c r="B37" s="783"/>
      <c r="C37" s="783"/>
      <c r="D37" s="783"/>
      <c r="E37" s="783"/>
      <c r="F37" s="783"/>
      <c r="G37" s="13"/>
      <c r="H37" s="59">
        <f>SUM(H38:H51)</f>
        <v>0</v>
      </c>
      <c r="I37" s="513"/>
      <c r="J37" s="513"/>
      <c r="K37" s="513"/>
      <c r="L37" s="546"/>
      <c r="M37" s="586"/>
      <c r="N37" s="4"/>
      <c r="Q37" s="439"/>
      <c r="R37" s="439"/>
    </row>
    <row r="38" spans="1:18" ht="16.05" customHeight="1" thickTop="1" thickBot="1" x14ac:dyDescent="0.25">
      <c r="A38" s="532"/>
      <c r="B38" s="521">
        <v>120308</v>
      </c>
      <c r="C38" s="536" t="s">
        <v>24</v>
      </c>
      <c r="D38" s="535" t="s">
        <v>10</v>
      </c>
      <c r="E38" s="535">
        <f>IF(OR(AND(H15&gt;=4.5, H15&lt;=5), AND(H15&gt;=15.1, H15&lt;=17.5), AND(H15&gt;=42.6, H15&lt;=45), AND(H15&gt;=60.1, H15&lt;=65), AND(H15&gt;=70.1, H15&lt;=75)), 1, 0)</f>
        <v>0</v>
      </c>
      <c r="F38" s="618">
        <v>32</v>
      </c>
      <c r="G38" s="522">
        <f t="shared" ref="G38:G51" si="2">E38*F38</f>
        <v>0</v>
      </c>
      <c r="H38" s="59">
        <f t="shared" ref="H38:H51" si="3">E38</f>
        <v>0</v>
      </c>
      <c r="I38" s="513"/>
      <c r="J38" s="513"/>
      <c r="K38" s="513"/>
      <c r="L38" s="546"/>
      <c r="M38" s="586">
        <f>E38*300</f>
        <v>0</v>
      </c>
      <c r="N38" s="4"/>
      <c r="Q38" s="439"/>
      <c r="R38" s="439"/>
    </row>
    <row r="39" spans="1:18" ht="16.05" customHeight="1" thickBot="1" x14ac:dyDescent="0.25">
      <c r="A39" s="494"/>
      <c r="B39" s="490">
        <v>120458</v>
      </c>
      <c r="C39" s="504" t="s">
        <v>25</v>
      </c>
      <c r="D39" s="498" t="s">
        <v>10</v>
      </c>
      <c r="E39" s="498">
        <f>IF(OR(AND(H15&gt;=5.1,H15&lt;=7.5),AND(H15&gt;=20.1,H15&lt;=22.5),AND(H15&gt;=25.1,H15&lt;=27.5),AND(H15&gt;=30.1,H15&lt;=32.5),AND(H15&gt;=35.1,H15&lt;=37.55),AND(H15&gt;=40.1,H15&lt;=42.5),AND(H15&gt;=45.1,H15&lt;=47.5),AND(H15&gt;=75.1,H15&lt;=77.5)),1,0)</f>
        <v>0</v>
      </c>
      <c r="F39" s="613">
        <v>46</v>
      </c>
      <c r="G39" s="495">
        <f t="shared" si="2"/>
        <v>0</v>
      </c>
      <c r="H39" s="59">
        <f t="shared" si="3"/>
        <v>0</v>
      </c>
      <c r="I39" s="513"/>
      <c r="J39" s="513"/>
      <c r="K39" s="513"/>
      <c r="L39" s="546"/>
      <c r="M39" s="586">
        <f>E39*450</f>
        <v>0</v>
      </c>
      <c r="N39" s="4"/>
      <c r="Q39" s="439"/>
      <c r="R39" s="439"/>
    </row>
    <row r="40" spans="1:18" ht="16.05" customHeight="1" thickBot="1" x14ac:dyDescent="0.25">
      <c r="A40" s="494"/>
      <c r="B40" s="490">
        <v>120608</v>
      </c>
      <c r="C40" s="504" t="s">
        <v>26</v>
      </c>
      <c r="D40" s="498" t="s">
        <v>10</v>
      </c>
      <c r="E40" s="498">
        <f>IF(OR(AND(H15&gt;=7.6,H15&lt;=10)),1,0)</f>
        <v>0</v>
      </c>
      <c r="F40" s="613">
        <v>58</v>
      </c>
      <c r="G40" s="495">
        <f t="shared" si="2"/>
        <v>0</v>
      </c>
      <c r="H40" s="59">
        <f t="shared" si="3"/>
        <v>0</v>
      </c>
      <c r="I40" s="513"/>
      <c r="J40" s="513"/>
      <c r="K40" s="513"/>
      <c r="L40" s="546"/>
      <c r="M40" s="586">
        <f>E40*600</f>
        <v>0</v>
      </c>
      <c r="N40" s="4"/>
      <c r="Q40" s="439"/>
      <c r="R40" s="439"/>
    </row>
    <row r="41" spans="1:18" ht="16.05" customHeight="1" thickBot="1" x14ac:dyDescent="0.25">
      <c r="A41" s="494"/>
      <c r="B41" s="490">
        <v>120758</v>
      </c>
      <c r="C41" s="504" t="s">
        <v>27</v>
      </c>
      <c r="D41" s="498" t="s">
        <v>10</v>
      </c>
      <c r="E41" s="512">
        <f>IF(OR(AND(H15&gt;=10.1,H15&lt;=12.5),AND(H15&gt;=15.1,H15&lt;=17.5),AND(H15&gt;=50.1,H15&lt;=52.5),AND(H15&gt;=80.1,H15&lt;=82.5)),1,0)</f>
        <v>0</v>
      </c>
      <c r="F41" s="613">
        <v>69</v>
      </c>
      <c r="G41" s="495">
        <f t="shared" si="2"/>
        <v>0</v>
      </c>
      <c r="H41" s="59">
        <f t="shared" si="3"/>
        <v>0</v>
      </c>
      <c r="I41" s="513"/>
      <c r="J41" s="513"/>
      <c r="K41" s="513"/>
      <c r="L41" s="546"/>
      <c r="M41" s="586">
        <f>E41*750</f>
        <v>0</v>
      </c>
      <c r="N41" s="4"/>
      <c r="Q41" s="439"/>
      <c r="R41" s="439"/>
    </row>
    <row r="42" spans="1:18" ht="16.05" customHeight="1" thickBot="1" x14ac:dyDescent="0.25">
      <c r="A42" s="494"/>
      <c r="B42" s="490">
        <v>120908</v>
      </c>
      <c r="C42" s="504" t="s">
        <v>28</v>
      </c>
      <c r="D42" s="498" t="s">
        <v>10</v>
      </c>
      <c r="E42" s="498">
        <f>IF(OR(AND(H15&gt;=12.6,H15&lt;=15),AND(H15&gt;=20.1,H15&lt;=22.5),AND(H15&gt;=82.6,H15&lt;=85)),1,0)</f>
        <v>0</v>
      </c>
      <c r="F42" s="613">
        <v>75</v>
      </c>
      <c r="G42" s="495">
        <f t="shared" si="2"/>
        <v>0</v>
      </c>
      <c r="H42" s="59">
        <f t="shared" si="3"/>
        <v>0</v>
      </c>
      <c r="I42" s="513"/>
      <c r="J42" s="513"/>
      <c r="K42" s="513"/>
      <c r="L42" s="546"/>
      <c r="M42" s="586">
        <f>E42*900</f>
        <v>0</v>
      </c>
      <c r="N42" s="4"/>
      <c r="Q42" s="439"/>
      <c r="R42" s="439"/>
    </row>
    <row r="43" spans="1:18" ht="16.05" customHeight="1" thickBot="1" x14ac:dyDescent="0.25">
      <c r="A43" s="494"/>
      <c r="B43" s="490">
        <v>121208</v>
      </c>
      <c r="C43" s="504" t="s">
        <v>29</v>
      </c>
      <c r="D43" s="498" t="s">
        <v>10</v>
      </c>
      <c r="E43" s="498">
        <f>IF(OR(AND(H15&gt;=17.6,H15&lt;=20),AND(H15&gt;=25.1,H15&lt;=27.5),AND(H15&gt;=85.1,H15&lt;=90)),1,0)</f>
        <v>0</v>
      </c>
      <c r="F43" s="613">
        <v>95</v>
      </c>
      <c r="G43" s="495">
        <f t="shared" si="2"/>
        <v>0</v>
      </c>
      <c r="H43" s="59">
        <f t="shared" si="3"/>
        <v>0</v>
      </c>
      <c r="I43" s="513"/>
      <c r="J43" s="513"/>
      <c r="K43" s="515"/>
      <c r="L43" s="546"/>
      <c r="M43" s="586">
        <f>E43*1200</f>
        <v>0</v>
      </c>
      <c r="N43" s="4"/>
      <c r="Q43" s="439"/>
      <c r="R43" s="439"/>
    </row>
    <row r="44" spans="1:18" ht="16.05" customHeight="1" thickBot="1" x14ac:dyDescent="0.25">
      <c r="A44" s="494"/>
      <c r="B44" s="490">
        <v>121508</v>
      </c>
      <c r="C44" s="504" t="s">
        <v>30</v>
      </c>
      <c r="D44" s="498" t="s">
        <v>10</v>
      </c>
      <c r="E44" s="499">
        <f>IF(OR(AND(H15&gt;=22.6,H15&lt;=25),AND(H15&gt;=30.1,H15&lt;=32.5),AND(H15&gt;=90.1,H15&lt;=95)),1,0)</f>
        <v>0</v>
      </c>
      <c r="F44" s="613">
        <v>115</v>
      </c>
      <c r="G44" s="495">
        <f t="shared" si="2"/>
        <v>0</v>
      </c>
      <c r="H44" s="59">
        <f t="shared" si="3"/>
        <v>0</v>
      </c>
      <c r="I44" s="513"/>
      <c r="J44" s="513"/>
      <c r="K44" s="513"/>
      <c r="L44" s="546"/>
      <c r="M44" s="586">
        <f>E44*1500</f>
        <v>0</v>
      </c>
      <c r="N44" s="4"/>
      <c r="Q44" s="439"/>
      <c r="R44" s="439"/>
    </row>
    <row r="45" spans="1:18" ht="16.05" customHeight="1" thickBot="1" x14ac:dyDescent="0.25">
      <c r="A45" s="494"/>
      <c r="B45" s="490">
        <v>121808</v>
      </c>
      <c r="C45" s="504" t="s">
        <v>31</v>
      </c>
      <c r="D45" s="498" t="s">
        <v>10</v>
      </c>
      <c r="E45" s="498">
        <f>IF(OR(AND(H15&gt;=27.6,H15&lt;=30),AND(H15&gt;=35.1,H15&lt;=37.5)),1,0)</f>
        <v>0</v>
      </c>
      <c r="F45" s="614">
        <v>138</v>
      </c>
      <c r="G45" s="495">
        <f t="shared" si="2"/>
        <v>0</v>
      </c>
      <c r="H45" s="59">
        <f t="shared" si="3"/>
        <v>0</v>
      </c>
      <c r="I45" s="513"/>
      <c r="J45" s="513"/>
      <c r="K45" s="513"/>
      <c r="L45" s="546"/>
      <c r="M45" s="586">
        <f>E45*1800</f>
        <v>0</v>
      </c>
      <c r="N45" s="4"/>
      <c r="Q45" s="439"/>
    </row>
    <row r="46" spans="1:18" ht="16.05" customHeight="1" thickBot="1" x14ac:dyDescent="0.25">
      <c r="A46" s="494"/>
      <c r="B46" s="490">
        <v>122108</v>
      </c>
      <c r="C46" s="504" t="s">
        <v>32</v>
      </c>
      <c r="D46" s="498" t="s">
        <v>10</v>
      </c>
      <c r="E46" s="498">
        <f>IF(OR(AND(H15&gt;=32.6,H15&lt;=35),AND(H15&gt;=40.1,H15&lt;=42.5),AND(H15&gt;=100.1,H15&lt;=105)),1,0)</f>
        <v>0</v>
      </c>
      <c r="F46" s="614">
        <v>161</v>
      </c>
      <c r="G46" s="495">
        <f t="shared" si="2"/>
        <v>0</v>
      </c>
      <c r="H46" s="59">
        <f t="shared" si="3"/>
        <v>0</v>
      </c>
      <c r="I46" s="513"/>
      <c r="J46" s="513"/>
      <c r="K46" s="513"/>
      <c r="L46" s="546"/>
      <c r="M46" s="586">
        <f>E46*2100</f>
        <v>0</v>
      </c>
      <c r="N46" s="4"/>
      <c r="Q46" s="439"/>
    </row>
    <row r="47" spans="1:18" ht="16.05" customHeight="1" thickBot="1" x14ac:dyDescent="0.25">
      <c r="A47" s="494"/>
      <c r="B47" s="490">
        <v>122408</v>
      </c>
      <c r="C47" s="504" t="s">
        <v>33</v>
      </c>
      <c r="D47" s="498" t="s">
        <v>10</v>
      </c>
      <c r="E47" s="498">
        <f>IF(AND(H15&gt;=77.6,H15&lt;=80),2,
   IF(OR(
      AND(H15&gt;=37.6,H15&lt;=40),
      AND(H15&gt;=42.6,H15&lt;=47.5),
      AND(H15&gt;=50.1,H15&lt;=52.5),
      AND(H15&gt;=105.1,H15&lt;=110)
   ),1,0)
)</f>
        <v>0</v>
      </c>
      <c r="F47" s="614">
        <v>169</v>
      </c>
      <c r="G47" s="495">
        <f t="shared" si="2"/>
        <v>0</v>
      </c>
      <c r="H47" s="59">
        <f t="shared" si="3"/>
        <v>0</v>
      </c>
      <c r="I47" s="513"/>
      <c r="J47" s="513"/>
      <c r="K47" s="513"/>
      <c r="L47" s="546"/>
      <c r="M47" s="586">
        <f>E47*2400</f>
        <v>0</v>
      </c>
      <c r="N47" s="4"/>
      <c r="Q47" s="439"/>
    </row>
    <row r="48" spans="1:18" ht="16.05" customHeight="1" thickBot="1" x14ac:dyDescent="0.25">
      <c r="A48" s="494"/>
      <c r="B48" s="490">
        <v>123008</v>
      </c>
      <c r="C48" s="504" t="s">
        <v>34</v>
      </c>
      <c r="D48" s="498" t="s">
        <v>10</v>
      </c>
      <c r="E48" s="498">
        <f>IF(AND(H15&gt;=95.1,H15&lt;=100),2,
   IF(AND(H15&gt;=47.6,H15&lt;=50),1,0)
)</f>
        <v>0</v>
      </c>
      <c r="F48" s="614">
        <v>217</v>
      </c>
      <c r="G48" s="495">
        <f t="shared" si="2"/>
        <v>0</v>
      </c>
      <c r="H48" s="59">
        <f t="shared" si="3"/>
        <v>0</v>
      </c>
      <c r="I48" s="513"/>
      <c r="J48" s="513"/>
      <c r="K48" s="513"/>
      <c r="L48" s="546"/>
      <c r="M48" s="586">
        <f>E48*3000</f>
        <v>0</v>
      </c>
      <c r="N48" s="4"/>
      <c r="Q48" s="439"/>
    </row>
    <row r="49" spans="1:17" ht="16.05" customHeight="1" thickBot="1" x14ac:dyDescent="0.25">
      <c r="A49" s="494"/>
      <c r="B49" s="490">
        <v>123408</v>
      </c>
      <c r="C49" s="504" t="s">
        <v>44</v>
      </c>
      <c r="D49" s="498" t="s">
        <v>10</v>
      </c>
      <c r="E49" s="498">
        <f>IF(OR(AND(H15&gt;=52.6,H15&lt;=56.7),AND(H15&gt;=110.1,H15&lt;=116.7),AND(H15&gt;=120.1,H15&lt;=126.7)),1,0)</f>
        <v>0</v>
      </c>
      <c r="F49" s="614">
        <v>247</v>
      </c>
      <c r="G49" s="495">
        <f t="shared" si="2"/>
        <v>0</v>
      </c>
      <c r="H49" s="59">
        <f t="shared" si="3"/>
        <v>0</v>
      </c>
      <c r="I49" s="513"/>
      <c r="J49" s="513"/>
      <c r="K49" s="513"/>
      <c r="L49" s="546"/>
      <c r="M49" s="586">
        <f>E49*3400</f>
        <v>0</v>
      </c>
      <c r="N49" s="4"/>
      <c r="Q49" s="439"/>
    </row>
    <row r="50" spans="1:17" ht="16.05" customHeight="1" thickBot="1" x14ac:dyDescent="0.25">
      <c r="A50" s="494"/>
      <c r="B50" s="490">
        <v>123608</v>
      </c>
      <c r="C50" s="504" t="s">
        <v>35</v>
      </c>
      <c r="D50" s="498" t="s">
        <v>10</v>
      </c>
      <c r="E50" s="498">
        <f>IF(OR(AND(H15&gt;=56.8,H15&lt;=65),AND(H15&gt;=110.1,H15&lt;=116.7),AND(H15&gt;=126.8,H15&lt;=130)),1, IF(AND(H15&gt;=116.8,H15&lt;=120), 2, 0))</f>
        <v>0</v>
      </c>
      <c r="F50" s="614">
        <v>259</v>
      </c>
      <c r="G50" s="495">
        <f t="shared" si="2"/>
        <v>0</v>
      </c>
      <c r="H50" s="59">
        <f t="shared" si="3"/>
        <v>0</v>
      </c>
      <c r="I50" s="513"/>
      <c r="J50" s="513"/>
      <c r="K50" s="513"/>
      <c r="L50" s="546"/>
      <c r="M50" s="586">
        <f>E50*3600</f>
        <v>0</v>
      </c>
      <c r="N50" s="4"/>
      <c r="Q50" s="439"/>
    </row>
    <row r="51" spans="1:17" ht="16.05" customHeight="1" thickBot="1" x14ac:dyDescent="0.25">
      <c r="A51" s="519"/>
      <c r="B51" s="537">
        <v>124208</v>
      </c>
      <c r="C51" s="538" t="s">
        <v>36</v>
      </c>
      <c r="D51" s="531" t="s">
        <v>10</v>
      </c>
      <c r="E51" s="531">
        <f>IF(OR(AND(H15&gt;=65.1,H15&lt;=77.5),AND(H15&gt;=80.1,H15&lt;=95),AND(H15&gt;=100.1,H15&lt;=110),AND(H15&gt;=120.1,H15&lt;=130)),1, IF(AND(H15&gt;=130.1,H15&lt;=140), 2, 0))</f>
        <v>0</v>
      </c>
      <c r="F51" s="616">
        <v>335</v>
      </c>
      <c r="G51" s="520">
        <f t="shared" si="2"/>
        <v>0</v>
      </c>
      <c r="H51" s="59">
        <f t="shared" si="3"/>
        <v>0</v>
      </c>
      <c r="I51" s="513"/>
      <c r="J51" s="513"/>
      <c r="K51" s="513"/>
      <c r="L51" s="546"/>
      <c r="M51" s="586">
        <f>E51*4200</f>
        <v>0</v>
      </c>
      <c r="N51" s="4"/>
      <c r="Q51" s="439"/>
    </row>
    <row r="52" spans="1:17" ht="16.5" customHeight="1" thickTop="1" thickBot="1" x14ac:dyDescent="0.25">
      <c r="A52" s="784" t="s">
        <v>291</v>
      </c>
      <c r="B52" s="785"/>
      <c r="C52" s="785"/>
      <c r="D52" s="785"/>
      <c r="E52" s="785"/>
      <c r="F52" s="785"/>
      <c r="G52" s="12"/>
      <c r="H52" s="59">
        <f>SUM(H53:H62)</f>
        <v>0</v>
      </c>
      <c r="L52" s="86" t="s">
        <v>424</v>
      </c>
      <c r="M52" s="584">
        <f>SUM(M25:M51)</f>
        <v>0</v>
      </c>
      <c r="N52" s="4"/>
      <c r="O52" s="514"/>
      <c r="Q52" s="439"/>
    </row>
    <row r="53" spans="1:17" ht="26.55" customHeight="1" thickTop="1" thickBot="1" x14ac:dyDescent="0.25">
      <c r="A53" s="665"/>
      <c r="B53" s="666" t="s">
        <v>38</v>
      </c>
      <c r="C53" s="667" t="s">
        <v>292</v>
      </c>
      <c r="D53" s="668" t="s">
        <v>10</v>
      </c>
      <c r="E53" s="669">
        <f>IF(M52&gt;0, 1, 0)</f>
        <v>0</v>
      </c>
      <c r="F53" s="670">
        <v>125</v>
      </c>
      <c r="G53" s="671">
        <v>0</v>
      </c>
      <c r="H53" s="59">
        <f t="shared" ref="H53:H62" si="4">E53</f>
        <v>0</v>
      </c>
      <c r="L53" s="86"/>
      <c r="M53" s="86"/>
      <c r="N53" s="4"/>
      <c r="O53" s="514"/>
      <c r="P53" s="439"/>
      <c r="Q53" s="439"/>
    </row>
    <row r="54" spans="1:17" ht="16.05" customHeight="1" thickBot="1" x14ac:dyDescent="0.25">
      <c r="A54" s="494"/>
      <c r="B54" s="506" t="s">
        <v>293</v>
      </c>
      <c r="C54" s="493" t="s">
        <v>294</v>
      </c>
      <c r="D54" s="489" t="s">
        <v>10</v>
      </c>
      <c r="E54" s="564">
        <f>IF(M52&gt;0, 1, 0)</f>
        <v>0</v>
      </c>
      <c r="F54" s="614">
        <v>191</v>
      </c>
      <c r="G54" s="495">
        <v>0</v>
      </c>
      <c r="H54" s="437">
        <f t="shared" si="4"/>
        <v>0</v>
      </c>
      <c r="L54" s="439"/>
      <c r="N54" s="4"/>
      <c r="O54" s="514"/>
      <c r="P54" s="439"/>
      <c r="Q54" s="439"/>
    </row>
    <row r="55" spans="1:17" ht="16.05" customHeight="1" thickBot="1" x14ac:dyDescent="0.25">
      <c r="A55" s="519"/>
      <c r="B55" s="657" t="s">
        <v>295</v>
      </c>
      <c r="C55" s="658" t="s">
        <v>296</v>
      </c>
      <c r="D55" s="659" t="s">
        <v>10</v>
      </c>
      <c r="E55" s="660">
        <f>IF(M52&gt;0, 1,0)</f>
        <v>0</v>
      </c>
      <c r="F55" s="616">
        <v>38</v>
      </c>
      <c r="G55" s="520">
        <v>0</v>
      </c>
      <c r="H55" s="437">
        <f t="shared" si="4"/>
        <v>0</v>
      </c>
      <c r="L55" s="439"/>
      <c r="N55" s="4"/>
      <c r="O55" s="514"/>
      <c r="P55" s="439"/>
      <c r="Q55" s="439"/>
    </row>
    <row r="56" spans="1:17" ht="16.05" customHeight="1" thickBot="1" x14ac:dyDescent="0.25">
      <c r="A56" s="494"/>
      <c r="B56" s="662">
        <v>900056</v>
      </c>
      <c r="C56" s="663" t="s">
        <v>427</v>
      </c>
      <c r="D56" s="489" t="s">
        <v>10</v>
      </c>
      <c r="E56" s="489"/>
      <c r="F56" s="614">
        <v>221</v>
      </c>
      <c r="G56" s="495">
        <f t="shared" ref="G56" si="5">E56*F56</f>
        <v>0</v>
      </c>
      <c r="H56" s="59">
        <f t="shared" si="4"/>
        <v>0</v>
      </c>
      <c r="J56" s="4"/>
      <c r="M56" s="439"/>
      <c r="O56" s="5"/>
    </row>
    <row r="57" spans="1:17" ht="16.05" customHeight="1" thickBot="1" x14ac:dyDescent="0.25">
      <c r="A57" s="672"/>
      <c r="B57" s="662">
        <v>900055</v>
      </c>
      <c r="C57" s="663" t="s">
        <v>448</v>
      </c>
      <c r="D57" s="664" t="s">
        <v>10</v>
      </c>
      <c r="E57" s="664"/>
      <c r="F57" s="611">
        <v>261</v>
      </c>
      <c r="G57" s="673">
        <f>E57*F57</f>
        <v>0</v>
      </c>
      <c r="H57" s="59">
        <f>E57</f>
        <v>0</v>
      </c>
      <c r="I57" s="4"/>
      <c r="J57" s="4"/>
      <c r="K57" s="7"/>
      <c r="L57" s="4"/>
      <c r="M57" s="27"/>
      <c r="O57" s="5"/>
    </row>
    <row r="58" spans="1:17" ht="26.55" customHeight="1" thickBot="1" x14ac:dyDescent="0.25">
      <c r="A58" s="532"/>
      <c r="B58" s="661" t="s">
        <v>423</v>
      </c>
      <c r="C58" s="539" t="s">
        <v>435</v>
      </c>
      <c r="D58" s="540" t="s">
        <v>10</v>
      </c>
      <c r="E58" s="563">
        <f>IF(M52&gt;0, 1, 0)</f>
        <v>0</v>
      </c>
      <c r="F58" s="619">
        <v>227</v>
      </c>
      <c r="G58" s="522">
        <v>0</v>
      </c>
      <c r="H58" s="59">
        <f t="shared" si="4"/>
        <v>0</v>
      </c>
      <c r="L58" s="439"/>
      <c r="N58" s="439"/>
      <c r="O58" s="514"/>
      <c r="P58" s="439"/>
      <c r="Q58" s="439"/>
    </row>
    <row r="59" spans="1:17" ht="16.05" customHeight="1" thickBot="1" x14ac:dyDescent="0.25">
      <c r="A59" s="494"/>
      <c r="B59" s="507">
        <v>160100</v>
      </c>
      <c r="C59" s="500" t="s">
        <v>79</v>
      </c>
      <c r="D59" s="498" t="s">
        <v>10</v>
      </c>
      <c r="E59" s="565">
        <f>IF(E11="x", ROUNDUP(E25/72, 0), 0)</f>
        <v>0</v>
      </c>
      <c r="F59" s="614">
        <v>13</v>
      </c>
      <c r="G59" s="495">
        <v>0</v>
      </c>
      <c r="H59" s="59">
        <f t="shared" si="4"/>
        <v>0</v>
      </c>
      <c r="Q59" s="439"/>
    </row>
    <row r="60" spans="1:17" ht="16.05" customHeight="1" thickBot="1" x14ac:dyDescent="0.25">
      <c r="A60" s="510"/>
      <c r="B60" s="508">
        <v>160108</v>
      </c>
      <c r="C60" s="501" t="s">
        <v>297</v>
      </c>
      <c r="D60" s="394" t="s">
        <v>138</v>
      </c>
      <c r="E60" s="566">
        <f>IF(G15&lt;2, 0, ROUNDUP((G15*3+1)/10, 0))</f>
        <v>0</v>
      </c>
      <c r="F60" s="614">
        <v>14</v>
      </c>
      <c r="G60" s="511">
        <f>E60*F60</f>
        <v>0</v>
      </c>
      <c r="H60" s="59">
        <f t="shared" si="4"/>
        <v>0</v>
      </c>
      <c r="Q60" s="439"/>
    </row>
    <row r="61" spans="1:17" ht="16.05" customHeight="1" thickBot="1" x14ac:dyDescent="0.25">
      <c r="A61" s="494"/>
      <c r="B61" s="509">
        <v>720310</v>
      </c>
      <c r="C61" s="502" t="s">
        <v>151</v>
      </c>
      <c r="D61" s="503" t="s">
        <v>10</v>
      </c>
      <c r="E61" s="568"/>
      <c r="F61" s="614">
        <v>17</v>
      </c>
      <c r="G61" s="495">
        <f>E61*F61</f>
        <v>0</v>
      </c>
      <c r="H61" s="59">
        <f t="shared" si="4"/>
        <v>0</v>
      </c>
      <c r="Q61" s="439"/>
    </row>
    <row r="62" spans="1:17" ht="16.05" customHeight="1" thickBot="1" x14ac:dyDescent="0.25">
      <c r="A62" s="674"/>
      <c r="B62" s="675">
        <v>720200</v>
      </c>
      <c r="C62" s="676" t="s">
        <v>66</v>
      </c>
      <c r="D62" s="677" t="s">
        <v>10</v>
      </c>
      <c r="E62" s="678"/>
      <c r="F62" s="679">
        <v>5</v>
      </c>
      <c r="G62" s="496">
        <f>E62*F62</f>
        <v>0</v>
      </c>
      <c r="H62" s="59">
        <f t="shared" si="4"/>
        <v>0</v>
      </c>
      <c r="Q62" s="439"/>
    </row>
    <row r="63" spans="1:17" ht="16.05" customHeight="1" thickTop="1" thickBot="1" x14ac:dyDescent="0.25">
      <c r="A63" s="743" t="s">
        <v>18</v>
      </c>
      <c r="B63" s="744"/>
      <c r="C63" s="744"/>
      <c r="D63" s="744"/>
      <c r="E63" s="744"/>
      <c r="F63" s="745"/>
      <c r="G63" s="28">
        <f>SUM(G25:G62)</f>
        <v>0</v>
      </c>
    </row>
    <row r="64" spans="1:17" ht="16.05" customHeight="1" thickTop="1" thickBot="1" x14ac:dyDescent="0.25">
      <c r="A64" s="47">
        <v>0</v>
      </c>
      <c r="B64" s="744" t="s">
        <v>70</v>
      </c>
      <c r="C64" s="744"/>
      <c r="D64" s="744"/>
      <c r="E64" s="744"/>
      <c r="F64" s="745"/>
      <c r="G64" s="77">
        <f>G63*(1-A64)</f>
        <v>0</v>
      </c>
    </row>
    <row r="65" spans="1:31" ht="16.05" customHeight="1" thickTop="1" thickBot="1" x14ac:dyDescent="0.25">
      <c r="A65" s="14" t="s">
        <v>19</v>
      </c>
      <c r="B65" s="15"/>
      <c r="C65" s="15"/>
      <c r="D65" s="15"/>
      <c r="E65" s="15"/>
      <c r="F65" s="15"/>
      <c r="G65" s="77">
        <f>G64*1.21</f>
        <v>0</v>
      </c>
    </row>
    <row r="66" spans="1:31" ht="12" thickTop="1" x14ac:dyDescent="0.2"/>
    <row r="67" spans="1:31" x14ac:dyDescent="0.2">
      <c r="A67" s="732" t="s">
        <v>20</v>
      </c>
      <c r="B67" s="732"/>
      <c r="C67" s="732"/>
      <c r="D67" s="732"/>
      <c r="E67" s="732"/>
      <c r="F67" s="732"/>
      <c r="G67" s="732"/>
    </row>
    <row r="68" spans="1:31" ht="26.25" customHeight="1" x14ac:dyDescent="0.2">
      <c r="A68" s="733" t="s">
        <v>141</v>
      </c>
      <c r="B68" s="733"/>
      <c r="C68" s="733"/>
      <c r="D68" s="733"/>
      <c r="E68" s="733"/>
      <c r="F68" s="733"/>
      <c r="G68" s="733"/>
    </row>
    <row r="69" spans="1:31" ht="16.5" customHeight="1" x14ac:dyDescent="0.3">
      <c r="A69" s="733" t="s">
        <v>298</v>
      </c>
      <c r="B69" s="733"/>
      <c r="C69" s="733"/>
      <c r="D69" s="567">
        <f>SUM(M25:M51)/1000</f>
        <v>0</v>
      </c>
      <c r="E69" s="67"/>
      <c r="F69" s="67"/>
      <c r="G69" s="67"/>
    </row>
    <row r="70" spans="1:31" ht="15.75" customHeight="1" x14ac:dyDescent="0.2">
      <c r="A70" s="2" t="s">
        <v>459</v>
      </c>
      <c r="B70" s="3"/>
      <c r="C70" s="3"/>
      <c r="D70" s="3"/>
      <c r="E70" s="3"/>
      <c r="F70" s="3"/>
      <c r="G70" s="3"/>
    </row>
    <row r="71" spans="1:31" ht="15.75" customHeight="1" x14ac:dyDescent="0.2">
      <c r="A71" s="732" t="s">
        <v>142</v>
      </c>
      <c r="B71" s="763"/>
      <c r="C71" s="763"/>
      <c r="D71" s="763"/>
      <c r="E71" s="763"/>
      <c r="F71" s="763"/>
      <c r="G71" s="763"/>
    </row>
    <row r="72" spans="1:31" ht="12.75" customHeight="1" x14ac:dyDescent="0.3">
      <c r="A72" s="732" t="s">
        <v>22</v>
      </c>
      <c r="B72" s="740"/>
      <c r="C72" s="740"/>
      <c r="D72" s="740"/>
      <c r="E72" s="740"/>
      <c r="F72" s="740"/>
      <c r="G72" s="740"/>
    </row>
    <row r="73" spans="1:31" ht="16.5" customHeight="1" x14ac:dyDescent="0.2">
      <c r="A73" s="732" t="s">
        <v>23</v>
      </c>
      <c r="B73" s="763"/>
      <c r="C73" s="763"/>
      <c r="D73" s="763"/>
      <c r="E73" s="763"/>
      <c r="F73" s="763"/>
      <c r="G73" s="763"/>
    </row>
    <row r="74" spans="1:31" ht="16.5" customHeight="1" x14ac:dyDescent="0.3">
      <c r="A74" s="66"/>
      <c r="B74"/>
      <c r="C74"/>
      <c r="D74"/>
      <c r="E74"/>
      <c r="F74"/>
      <c r="G74"/>
    </row>
    <row r="75" spans="1:31" ht="17.25" customHeight="1" x14ac:dyDescent="0.3">
      <c r="B75" s="1" t="s">
        <v>11</v>
      </c>
      <c r="C75" s="2"/>
      <c r="D75"/>
      <c r="E75"/>
      <c r="F75"/>
      <c r="G75"/>
    </row>
    <row r="76" spans="1:31" ht="15" customHeight="1" x14ac:dyDescent="0.3">
      <c r="B76" s="749"/>
      <c r="C76" s="750"/>
      <c r="D76"/>
      <c r="E76"/>
      <c r="F76"/>
      <c r="G76"/>
      <c r="K76" s="439"/>
      <c r="L76" s="439"/>
      <c r="M76" s="439"/>
      <c r="N76" s="439"/>
      <c r="O76" s="514"/>
      <c r="P76" s="439"/>
      <c r="Q76" s="439"/>
      <c r="R76" s="439"/>
      <c r="S76" s="439"/>
      <c r="T76" s="439"/>
      <c r="U76" s="439"/>
      <c r="V76" s="439"/>
      <c r="W76" s="439"/>
      <c r="X76" s="439"/>
      <c r="Y76" s="439"/>
      <c r="Z76" s="439"/>
      <c r="AA76" s="439"/>
      <c r="AB76" s="439"/>
      <c r="AC76" s="439"/>
      <c r="AD76" s="439"/>
      <c r="AE76" s="439"/>
    </row>
    <row r="77" spans="1:31" ht="12.75" customHeight="1" x14ac:dyDescent="0.3">
      <c r="B77" s="749"/>
      <c r="C77" s="750"/>
      <c r="D77"/>
      <c r="E77"/>
      <c r="F77"/>
      <c r="G77"/>
      <c r="K77" s="439"/>
      <c r="L77" s="439"/>
      <c r="M77" s="439"/>
      <c r="N77" s="439"/>
      <c r="O77" s="514"/>
      <c r="P77" s="439"/>
      <c r="Q77" s="439"/>
      <c r="R77" s="439"/>
      <c r="S77" s="439"/>
      <c r="T77" s="439"/>
      <c r="U77" s="439"/>
      <c r="V77" s="439"/>
      <c r="W77" s="439"/>
      <c r="X77" s="439"/>
      <c r="Y77" s="439"/>
      <c r="Z77" s="439"/>
      <c r="AA77" s="439"/>
      <c r="AB77" s="439"/>
      <c r="AC77" s="439"/>
      <c r="AD77" s="439"/>
      <c r="AE77" s="439"/>
    </row>
    <row r="78" spans="1:31" ht="12.75" customHeight="1" x14ac:dyDescent="0.3">
      <c r="B78" s="76"/>
      <c r="D78"/>
      <c r="E78"/>
      <c r="F78"/>
      <c r="G78"/>
      <c r="K78" s="439"/>
      <c r="L78" s="439"/>
      <c r="M78" s="439"/>
      <c r="N78" s="439"/>
      <c r="O78" s="514"/>
      <c r="P78" s="439"/>
      <c r="Q78" s="439"/>
      <c r="R78" s="439"/>
      <c r="S78" s="439"/>
      <c r="T78" s="439"/>
      <c r="U78" s="439"/>
      <c r="V78" s="439"/>
      <c r="W78" s="439"/>
      <c r="X78" s="439"/>
      <c r="Y78" s="439"/>
      <c r="Z78" s="439"/>
      <c r="AA78" s="439"/>
      <c r="AB78" s="439"/>
      <c r="AC78" s="439"/>
      <c r="AD78" s="439"/>
      <c r="AE78" s="439"/>
    </row>
    <row r="79" spans="1:31" ht="12.75" customHeight="1" x14ac:dyDescent="0.3">
      <c r="B79" s="76" t="s">
        <v>12</v>
      </c>
      <c r="D79"/>
      <c r="E79"/>
      <c r="F79"/>
      <c r="G79"/>
      <c r="K79" s="439"/>
      <c r="L79" s="587"/>
      <c r="M79" s="587"/>
      <c r="N79" s="587"/>
      <c r="O79" s="596"/>
      <c r="P79" s="587"/>
      <c r="Q79" s="587"/>
      <c r="R79" s="587"/>
      <c r="S79" s="587"/>
      <c r="T79" s="587"/>
      <c r="U79" s="587"/>
      <c r="V79" s="585"/>
      <c r="W79" s="585"/>
      <c r="X79" s="585"/>
      <c r="Y79" s="585"/>
      <c r="Z79" s="585"/>
      <c r="AA79" s="439"/>
      <c r="AB79" s="439"/>
      <c r="AC79" s="439"/>
      <c r="AD79" s="439"/>
      <c r="AE79" s="439"/>
    </row>
    <row r="80" spans="1:31" ht="12.75" customHeight="1" x14ac:dyDescent="0.2">
      <c r="K80" s="439"/>
      <c r="L80" s="587"/>
      <c r="M80" s="590" t="s">
        <v>299</v>
      </c>
      <c r="N80" s="587"/>
      <c r="O80" s="596"/>
      <c r="P80" s="587"/>
      <c r="Q80" s="587"/>
      <c r="R80" s="590" t="s">
        <v>422</v>
      </c>
      <c r="S80" s="587"/>
      <c r="T80" s="587"/>
      <c r="U80" s="587"/>
      <c r="V80" s="585"/>
      <c r="W80" s="585"/>
      <c r="X80" s="585"/>
      <c r="Y80" s="585"/>
      <c r="Z80" s="585"/>
      <c r="AA80" s="439"/>
      <c r="AB80" s="439"/>
      <c r="AC80" s="439"/>
      <c r="AD80" s="439"/>
      <c r="AE80" s="439"/>
    </row>
    <row r="81" spans="1:31" ht="34.5" customHeight="1" x14ac:dyDescent="0.3">
      <c r="K81" s="439"/>
      <c r="L81" s="726" t="s">
        <v>300</v>
      </c>
      <c r="M81" s="727"/>
      <c r="N81" s="728"/>
      <c r="O81" s="596"/>
      <c r="P81" s="587"/>
      <c r="Q81" s="726" t="s">
        <v>421</v>
      </c>
      <c r="R81" s="727"/>
      <c r="S81" s="728"/>
      <c r="T81" s="587"/>
      <c r="U81" s="587"/>
      <c r="V81" s="585"/>
      <c r="W81" s="585"/>
      <c r="X81" s="585"/>
      <c r="Y81" s="585"/>
      <c r="Z81" s="585"/>
      <c r="AA81" s="439"/>
      <c r="AB81" s="439"/>
      <c r="AC81" s="439"/>
      <c r="AD81" s="439"/>
      <c r="AE81" s="439"/>
    </row>
    <row r="82" spans="1:31" ht="48.75" customHeight="1" x14ac:dyDescent="0.2">
      <c r="A82" s="439"/>
      <c r="B82" s="439"/>
      <c r="C82" s="439"/>
      <c r="D82" s="439"/>
      <c r="E82" s="439"/>
      <c r="F82" s="439"/>
      <c r="G82" s="439"/>
      <c r="K82" s="439"/>
      <c r="L82" s="586" t="s">
        <v>301</v>
      </c>
      <c r="M82" s="586" t="s">
        <v>302</v>
      </c>
      <c r="N82" s="586" t="s">
        <v>303</v>
      </c>
      <c r="O82" s="596"/>
      <c r="P82" s="587"/>
      <c r="Q82" s="586" t="s">
        <v>301</v>
      </c>
      <c r="R82" s="586" t="s">
        <v>302</v>
      </c>
      <c r="S82" s="586" t="s">
        <v>303</v>
      </c>
      <c r="T82" s="587"/>
      <c r="U82" s="587"/>
      <c r="V82" s="585"/>
      <c r="W82" s="585"/>
      <c r="X82" s="585"/>
      <c r="Y82" s="585"/>
      <c r="Z82" s="585"/>
      <c r="AA82" s="439"/>
      <c r="AB82" s="439"/>
      <c r="AC82" s="439"/>
      <c r="AD82" s="439"/>
      <c r="AE82" s="439"/>
    </row>
    <row r="83" spans="1:31" ht="51.75" customHeight="1" x14ac:dyDescent="0.4">
      <c r="A83" s="787"/>
      <c r="B83" s="788"/>
      <c r="C83" s="788"/>
      <c r="D83" s="788"/>
      <c r="E83" s="788"/>
      <c r="F83" s="788"/>
      <c r="G83" s="789"/>
      <c r="K83" s="439"/>
      <c r="L83" s="586">
        <v>5</v>
      </c>
      <c r="M83" s="586">
        <v>15</v>
      </c>
      <c r="N83" s="586"/>
      <c r="O83" s="596">
        <f>(N83+M83)/L83</f>
        <v>3</v>
      </c>
      <c r="P83" s="587">
        <f>N83+M83</f>
        <v>15</v>
      </c>
      <c r="Q83" s="586">
        <v>4.5</v>
      </c>
      <c r="R83" s="586">
        <v>10</v>
      </c>
      <c r="S83" s="586"/>
      <c r="T83" s="596">
        <f>U83/Q83</f>
        <v>2.2222222222222223</v>
      </c>
      <c r="U83" s="587">
        <f>R83+S83</f>
        <v>10</v>
      </c>
      <c r="V83" s="585"/>
      <c r="W83" s="585"/>
      <c r="X83" s="585"/>
      <c r="Y83" s="585"/>
      <c r="Z83" s="585"/>
      <c r="AA83" s="439"/>
      <c r="AB83" s="439"/>
      <c r="AC83" s="439"/>
      <c r="AD83" s="439"/>
      <c r="AE83" s="439"/>
    </row>
    <row r="84" spans="1:31" ht="14.25" customHeight="1" x14ac:dyDescent="0.2">
      <c r="A84" s="786"/>
      <c r="B84" s="790"/>
      <c r="C84" s="790"/>
      <c r="D84" s="790"/>
      <c r="E84" s="790"/>
      <c r="F84" s="790"/>
      <c r="G84" s="791"/>
      <c r="K84" s="439"/>
      <c r="L84" s="586">
        <v>7.5</v>
      </c>
      <c r="M84" s="586">
        <v>15</v>
      </c>
      <c r="N84" s="586"/>
      <c r="O84" s="596">
        <f t="shared" ref="O84:O149" si="6">(N84+M84)/L84</f>
        <v>2</v>
      </c>
      <c r="P84" s="587">
        <f t="shared" ref="P84:P158" si="7">N84+M84</f>
        <v>15</v>
      </c>
      <c r="Q84" s="586">
        <v>5</v>
      </c>
      <c r="R84" s="586">
        <v>10</v>
      </c>
      <c r="S84" s="586"/>
      <c r="T84" s="596">
        <f>U84/Q84</f>
        <v>2</v>
      </c>
      <c r="U84" s="587">
        <f>R84+S84</f>
        <v>10</v>
      </c>
      <c r="V84" s="585"/>
      <c r="W84" s="585"/>
      <c r="X84" s="585"/>
      <c r="Y84" s="585"/>
      <c r="Z84" s="585"/>
      <c r="AA84" s="439"/>
      <c r="AB84" s="439"/>
      <c r="AC84" s="439"/>
      <c r="AD84" s="439"/>
      <c r="AE84" s="439"/>
    </row>
    <row r="85" spans="1:31" ht="15" customHeight="1" x14ac:dyDescent="0.2">
      <c r="A85" s="786"/>
      <c r="B85" s="786"/>
      <c r="C85" s="786"/>
      <c r="D85" s="786"/>
      <c r="E85" s="786"/>
      <c r="F85" s="786"/>
      <c r="G85" s="786"/>
      <c r="K85" s="439"/>
      <c r="L85" s="586">
        <v>7.6</v>
      </c>
      <c r="M85" s="586">
        <v>25</v>
      </c>
      <c r="N85" s="586"/>
      <c r="O85" s="596">
        <f t="shared" si="6"/>
        <v>3.2894736842105265</v>
      </c>
      <c r="P85" s="587">
        <f t="shared" si="7"/>
        <v>25</v>
      </c>
      <c r="Q85" s="586">
        <v>5.0999999999999996</v>
      </c>
      <c r="R85" s="586">
        <v>15</v>
      </c>
      <c r="S85" s="586"/>
      <c r="T85" s="596">
        <f>U85/Q85</f>
        <v>2.9411764705882355</v>
      </c>
      <c r="U85" s="587">
        <f>R85+S85</f>
        <v>15</v>
      </c>
      <c r="V85" s="585"/>
      <c r="W85" s="585"/>
      <c r="X85" s="585"/>
      <c r="Y85" s="585"/>
      <c r="Z85" s="585"/>
      <c r="AA85" s="439"/>
      <c r="AB85" s="439"/>
      <c r="AC85" s="439"/>
      <c r="AD85" s="439"/>
      <c r="AE85" s="439"/>
    </row>
    <row r="86" spans="1:31" ht="15" customHeight="1" x14ac:dyDescent="0.2">
      <c r="A86" s="786"/>
      <c r="B86" s="786"/>
      <c r="C86" s="786"/>
      <c r="D86" s="786"/>
      <c r="E86" s="786"/>
      <c r="F86" s="786"/>
      <c r="G86" s="786"/>
      <c r="K86" s="439"/>
      <c r="L86" s="586">
        <v>12.5</v>
      </c>
      <c r="M86" s="586">
        <v>25</v>
      </c>
      <c r="N86" s="586"/>
      <c r="O86" s="596">
        <f t="shared" si="6"/>
        <v>2</v>
      </c>
      <c r="P86" s="587">
        <f t="shared" si="7"/>
        <v>25</v>
      </c>
      <c r="Q86" s="586">
        <v>7.5</v>
      </c>
      <c r="R86" s="586">
        <v>15</v>
      </c>
      <c r="S86" s="586"/>
      <c r="T86" s="596">
        <f t="shared" ref="T86:T151" si="8">U86/Q86</f>
        <v>2</v>
      </c>
      <c r="U86" s="587">
        <f t="shared" ref="U86:U151" si="9">R86+S86</f>
        <v>15</v>
      </c>
      <c r="V86" s="585"/>
      <c r="W86" s="585"/>
      <c r="X86" s="585"/>
      <c r="Y86" s="585"/>
      <c r="Z86" s="585"/>
      <c r="AA86" s="439"/>
      <c r="AB86" s="439"/>
      <c r="AC86" s="439"/>
      <c r="AD86" s="439"/>
      <c r="AE86" s="439"/>
    </row>
    <row r="87" spans="1:31" ht="15" customHeight="1" x14ac:dyDescent="0.2">
      <c r="A87" s="786"/>
      <c r="B87" s="786"/>
      <c r="C87" s="786"/>
      <c r="D87" s="786"/>
      <c r="E87" s="786"/>
      <c r="F87" s="786"/>
      <c r="G87" s="786"/>
      <c r="K87" s="439"/>
      <c r="L87" s="586">
        <v>12.6</v>
      </c>
      <c r="M87" s="586">
        <v>15</v>
      </c>
      <c r="N87" s="586">
        <v>25</v>
      </c>
      <c r="O87" s="596">
        <f t="shared" si="6"/>
        <v>3.1746031746031749</v>
      </c>
      <c r="P87" s="587">
        <f t="shared" si="7"/>
        <v>40</v>
      </c>
      <c r="Q87" s="586">
        <v>7.6</v>
      </c>
      <c r="R87" s="586">
        <v>20</v>
      </c>
      <c r="S87" s="586"/>
      <c r="T87" s="596">
        <f t="shared" si="8"/>
        <v>2.6315789473684212</v>
      </c>
      <c r="U87" s="587">
        <f t="shared" si="9"/>
        <v>20</v>
      </c>
      <c r="V87" s="585"/>
      <c r="W87" s="585"/>
      <c r="X87" s="585"/>
      <c r="Y87" s="585"/>
      <c r="Z87" s="585"/>
      <c r="AA87" s="439"/>
      <c r="AB87" s="439"/>
      <c r="AC87" s="439"/>
      <c r="AD87" s="439"/>
      <c r="AE87" s="439"/>
    </row>
    <row r="88" spans="1:31" ht="15" customHeight="1" x14ac:dyDescent="0.2">
      <c r="A88" s="655"/>
      <c r="B88" s="655"/>
      <c r="C88" s="655"/>
      <c r="D88" s="655"/>
      <c r="E88" s="655"/>
      <c r="F88" s="655"/>
      <c r="G88" s="655"/>
      <c r="K88" s="439"/>
      <c r="L88" s="586"/>
      <c r="M88" s="586"/>
      <c r="N88" s="586"/>
      <c r="O88" s="596"/>
      <c r="P88" s="587"/>
      <c r="Q88" s="586"/>
      <c r="R88" s="586"/>
      <c r="S88" s="586"/>
      <c r="T88" s="596"/>
      <c r="U88" s="587"/>
      <c r="V88" s="585"/>
      <c r="W88" s="585"/>
      <c r="X88" s="585"/>
      <c r="Y88" s="585"/>
      <c r="Z88" s="585"/>
      <c r="AA88" s="439"/>
      <c r="AB88" s="439"/>
      <c r="AC88" s="439"/>
      <c r="AD88" s="439"/>
      <c r="AE88" s="439"/>
    </row>
    <row r="89" spans="1:31" ht="15" customHeight="1" x14ac:dyDescent="0.2">
      <c r="A89" s="655"/>
      <c r="B89" s="655"/>
      <c r="C89" s="655"/>
      <c r="D89" s="655"/>
      <c r="E89" s="655"/>
      <c r="F89" s="655"/>
      <c r="G89" s="655"/>
      <c r="K89" s="439"/>
      <c r="L89" s="586"/>
      <c r="M89" s="586"/>
      <c r="N89" s="586"/>
      <c r="O89" s="596"/>
      <c r="P89" s="587"/>
      <c r="Q89" s="586"/>
      <c r="R89" s="586"/>
      <c r="S89" s="586"/>
      <c r="T89" s="596"/>
      <c r="U89" s="587"/>
      <c r="V89" s="585"/>
      <c r="W89" s="585"/>
      <c r="X89" s="585"/>
      <c r="Y89" s="585"/>
      <c r="Z89" s="585"/>
      <c r="AA89" s="439"/>
      <c r="AB89" s="439"/>
      <c r="AC89" s="439"/>
      <c r="AD89" s="439"/>
      <c r="AE89" s="439"/>
    </row>
    <row r="90" spans="1:31" ht="17.25" customHeight="1" x14ac:dyDescent="0.2">
      <c r="A90" s="780"/>
      <c r="B90" s="780"/>
      <c r="C90" s="780"/>
      <c r="D90" s="780"/>
      <c r="E90" s="780"/>
      <c r="F90" s="780"/>
      <c r="G90" s="780"/>
      <c r="K90" s="439"/>
      <c r="L90" s="586">
        <v>20</v>
      </c>
      <c r="M90" s="586">
        <v>15</v>
      </c>
      <c r="N90" s="586">
        <v>25</v>
      </c>
      <c r="O90" s="596">
        <f t="shared" si="6"/>
        <v>2</v>
      </c>
      <c r="P90" s="587">
        <f t="shared" si="7"/>
        <v>40</v>
      </c>
      <c r="Q90" s="586">
        <v>10</v>
      </c>
      <c r="R90" s="586">
        <v>20</v>
      </c>
      <c r="S90" s="586"/>
      <c r="T90" s="596">
        <f t="shared" si="8"/>
        <v>2</v>
      </c>
      <c r="U90" s="587">
        <f t="shared" si="9"/>
        <v>20</v>
      </c>
      <c r="V90" s="585"/>
      <c r="W90" s="585"/>
      <c r="X90" s="585"/>
      <c r="Y90" s="585"/>
      <c r="Z90" s="585"/>
      <c r="AA90" s="439"/>
      <c r="AB90" s="439"/>
      <c r="AC90" s="439"/>
      <c r="AD90" s="439"/>
      <c r="AE90" s="439"/>
    </row>
    <row r="91" spans="1:31" ht="15.75" customHeight="1" x14ac:dyDescent="0.2">
      <c r="A91" s="786"/>
      <c r="B91" s="786"/>
      <c r="C91" s="786"/>
      <c r="D91" s="786"/>
      <c r="E91" s="786"/>
      <c r="F91" s="786"/>
      <c r="G91" s="786"/>
      <c r="K91" s="439"/>
      <c r="L91" s="586">
        <v>20.100000000000001</v>
      </c>
      <c r="M91" s="586">
        <v>50</v>
      </c>
      <c r="N91" s="586"/>
      <c r="O91" s="596">
        <f t="shared" si="6"/>
        <v>2.4875621890547261</v>
      </c>
      <c r="P91" s="587">
        <f t="shared" si="7"/>
        <v>50</v>
      </c>
      <c r="Q91" s="586">
        <v>10.1</v>
      </c>
      <c r="R91" s="586">
        <v>25</v>
      </c>
      <c r="S91" s="586"/>
      <c r="T91" s="596">
        <f t="shared" si="8"/>
        <v>2.4752475247524752</v>
      </c>
      <c r="U91" s="587">
        <f t="shared" si="9"/>
        <v>25</v>
      </c>
      <c r="V91" s="585"/>
      <c r="W91" s="585"/>
      <c r="X91" s="585"/>
      <c r="Y91" s="585"/>
      <c r="Z91" s="585"/>
      <c r="AA91" s="439"/>
      <c r="AB91" s="439"/>
      <c r="AC91" s="439"/>
      <c r="AD91" s="439"/>
      <c r="AE91" s="439"/>
    </row>
    <row r="92" spans="1:31" ht="37.5" customHeight="1" x14ac:dyDescent="0.2">
      <c r="A92" s="786"/>
      <c r="B92" s="786"/>
      <c r="C92" s="786"/>
      <c r="D92" s="786"/>
      <c r="E92" s="786"/>
      <c r="F92" s="786"/>
      <c r="G92" s="786"/>
      <c r="K92" s="439"/>
      <c r="L92" s="586">
        <v>25</v>
      </c>
      <c r="M92" s="586">
        <v>50</v>
      </c>
      <c r="N92" s="586"/>
      <c r="O92" s="596">
        <f t="shared" si="6"/>
        <v>2</v>
      </c>
      <c r="P92" s="587">
        <f t="shared" si="7"/>
        <v>50</v>
      </c>
      <c r="Q92" s="586">
        <v>12.5</v>
      </c>
      <c r="R92" s="586">
        <v>25</v>
      </c>
      <c r="S92" s="586"/>
      <c r="T92" s="596">
        <f t="shared" si="8"/>
        <v>2</v>
      </c>
      <c r="U92" s="587">
        <f t="shared" si="9"/>
        <v>25</v>
      </c>
      <c r="V92" s="585"/>
      <c r="W92" s="585"/>
      <c r="X92" s="585"/>
      <c r="Y92" s="585"/>
      <c r="Z92" s="585"/>
      <c r="AA92" s="439"/>
      <c r="AB92" s="439"/>
      <c r="AC92" s="439"/>
      <c r="AD92" s="439"/>
      <c r="AE92" s="439"/>
    </row>
    <row r="93" spans="1:31" ht="26.25" customHeight="1" x14ac:dyDescent="0.2">
      <c r="A93" s="780"/>
      <c r="B93" s="780"/>
      <c r="C93" s="780"/>
      <c r="D93" s="780"/>
      <c r="E93" s="780"/>
      <c r="F93" s="780"/>
      <c r="G93" s="780"/>
      <c r="K93" s="439"/>
      <c r="L93" s="586">
        <v>25.1</v>
      </c>
      <c r="M93" s="586">
        <v>60</v>
      </c>
      <c r="N93" s="586"/>
      <c r="O93" s="596">
        <f t="shared" si="6"/>
        <v>2.3904382470119518</v>
      </c>
      <c r="P93" s="587">
        <f t="shared" si="7"/>
        <v>60</v>
      </c>
      <c r="Q93" s="586">
        <v>12.6</v>
      </c>
      <c r="R93" s="586">
        <v>30</v>
      </c>
      <c r="S93" s="586"/>
      <c r="T93" s="596">
        <f t="shared" si="8"/>
        <v>2.3809523809523809</v>
      </c>
      <c r="U93" s="587">
        <f t="shared" si="9"/>
        <v>30</v>
      </c>
      <c r="V93" s="585"/>
      <c r="W93" s="585"/>
      <c r="X93" s="585"/>
      <c r="Y93" s="585"/>
      <c r="Z93" s="585"/>
      <c r="AA93" s="439"/>
      <c r="AB93" s="439"/>
      <c r="AC93" s="439"/>
      <c r="AD93" s="439"/>
      <c r="AE93" s="439"/>
    </row>
    <row r="94" spans="1:31" ht="27.75" customHeight="1" x14ac:dyDescent="0.2">
      <c r="A94" s="786"/>
      <c r="B94" s="786"/>
      <c r="C94" s="786"/>
      <c r="D94" s="786"/>
      <c r="E94" s="786"/>
      <c r="F94" s="786"/>
      <c r="G94" s="786"/>
      <c r="K94" s="439"/>
      <c r="L94" s="586">
        <v>30</v>
      </c>
      <c r="M94" s="586">
        <v>60</v>
      </c>
      <c r="N94" s="586"/>
      <c r="O94" s="596">
        <f t="shared" si="6"/>
        <v>2</v>
      </c>
      <c r="P94" s="587">
        <f t="shared" si="7"/>
        <v>60</v>
      </c>
      <c r="Q94" s="586">
        <v>15</v>
      </c>
      <c r="R94" s="586">
        <v>30</v>
      </c>
      <c r="S94" s="586"/>
      <c r="T94" s="596">
        <f t="shared" si="8"/>
        <v>2</v>
      </c>
      <c r="U94" s="587">
        <f t="shared" si="9"/>
        <v>30</v>
      </c>
      <c r="V94" s="585"/>
      <c r="W94" s="585"/>
      <c r="X94" s="585"/>
      <c r="Y94" s="585"/>
      <c r="Z94" s="585"/>
      <c r="AA94" s="439"/>
      <c r="AB94" s="439"/>
      <c r="AC94" s="439"/>
      <c r="AD94" s="439"/>
      <c r="AE94" s="439"/>
    </row>
    <row r="95" spans="1:31" ht="53.25" customHeight="1" x14ac:dyDescent="0.2">
      <c r="A95" s="786"/>
      <c r="B95" s="786"/>
      <c r="C95" s="786"/>
      <c r="D95" s="786"/>
      <c r="E95" s="786"/>
      <c r="F95" s="786"/>
      <c r="G95" s="786"/>
      <c r="K95" s="439"/>
      <c r="L95" s="586">
        <v>30.1</v>
      </c>
      <c r="M95" s="586">
        <v>15</v>
      </c>
      <c r="N95" s="586">
        <v>50</v>
      </c>
      <c r="O95" s="596">
        <f t="shared" si="6"/>
        <v>2.1594684385382057</v>
      </c>
      <c r="P95" s="587">
        <f t="shared" si="7"/>
        <v>65</v>
      </c>
      <c r="Q95" s="586">
        <v>15.1</v>
      </c>
      <c r="R95" s="586">
        <v>10</v>
      </c>
      <c r="S95" s="586">
        <v>25</v>
      </c>
      <c r="T95" s="596">
        <f t="shared" si="8"/>
        <v>2.3178807947019866</v>
      </c>
      <c r="U95" s="587">
        <f t="shared" si="9"/>
        <v>35</v>
      </c>
      <c r="V95" s="585"/>
      <c r="W95" s="585"/>
      <c r="X95" s="585"/>
      <c r="Y95" s="585"/>
      <c r="Z95" s="585"/>
      <c r="AA95" s="439"/>
      <c r="AB95" s="439"/>
      <c r="AC95" s="439"/>
      <c r="AD95" s="439"/>
      <c r="AE95" s="439"/>
    </row>
    <row r="96" spans="1:31" ht="42.75" customHeight="1" x14ac:dyDescent="0.2">
      <c r="A96" s="786"/>
      <c r="B96" s="790"/>
      <c r="C96" s="790"/>
      <c r="D96" s="790"/>
      <c r="E96" s="790"/>
      <c r="F96" s="790"/>
      <c r="G96" s="791"/>
      <c r="K96" s="439"/>
      <c r="L96" s="586">
        <v>32.5</v>
      </c>
      <c r="M96" s="586">
        <v>15</v>
      </c>
      <c r="N96" s="586">
        <v>50</v>
      </c>
      <c r="O96" s="596">
        <f t="shared" si="6"/>
        <v>2</v>
      </c>
      <c r="P96" s="587">
        <f t="shared" si="7"/>
        <v>65</v>
      </c>
      <c r="Q96" s="586">
        <v>17.5</v>
      </c>
      <c r="R96" s="586">
        <v>10</v>
      </c>
      <c r="S96" s="586">
        <v>25</v>
      </c>
      <c r="T96" s="596">
        <f t="shared" si="8"/>
        <v>2</v>
      </c>
      <c r="U96" s="587">
        <f t="shared" si="9"/>
        <v>35</v>
      </c>
      <c r="V96" s="585"/>
      <c r="W96" s="585"/>
      <c r="X96" s="585"/>
      <c r="Y96" s="585"/>
      <c r="Z96" s="585"/>
      <c r="AA96" s="439"/>
      <c r="AB96" s="439"/>
      <c r="AC96" s="439"/>
      <c r="AD96" s="439"/>
      <c r="AE96" s="439"/>
    </row>
    <row r="97" spans="1:31" ht="46.5" customHeight="1" x14ac:dyDescent="0.2">
      <c r="A97" s="794"/>
      <c r="B97" s="794"/>
      <c r="C97" s="794"/>
      <c r="D97" s="794"/>
      <c r="E97" s="794"/>
      <c r="F97" s="794"/>
      <c r="G97" s="794"/>
      <c r="K97" s="439"/>
      <c r="L97" s="586">
        <v>32.6</v>
      </c>
      <c r="M97" s="586">
        <v>25</v>
      </c>
      <c r="N97" s="586">
        <v>50</v>
      </c>
      <c r="O97" s="596">
        <f t="shared" si="6"/>
        <v>2.3006134969325154</v>
      </c>
      <c r="P97" s="587">
        <f t="shared" si="7"/>
        <v>75</v>
      </c>
      <c r="Q97" s="586">
        <v>17.600000000000001</v>
      </c>
      <c r="R97" s="586">
        <v>40</v>
      </c>
      <c r="S97" s="586"/>
      <c r="T97" s="596">
        <f t="shared" si="8"/>
        <v>2.2727272727272725</v>
      </c>
      <c r="U97" s="587">
        <f t="shared" si="9"/>
        <v>40</v>
      </c>
      <c r="V97" s="585"/>
      <c r="W97" s="585"/>
      <c r="X97" s="585"/>
      <c r="Y97" s="585"/>
      <c r="Z97" s="585"/>
      <c r="AA97" s="439"/>
      <c r="AB97" s="439"/>
      <c r="AC97" s="439"/>
      <c r="AD97" s="439"/>
      <c r="AE97" s="439"/>
    </row>
    <row r="98" spans="1:31" ht="12.75" customHeight="1" x14ac:dyDescent="0.2">
      <c r="A98" s="786"/>
      <c r="B98" s="790"/>
      <c r="C98" s="790"/>
      <c r="D98" s="790"/>
      <c r="E98" s="790"/>
      <c r="F98" s="790"/>
      <c r="G98" s="791"/>
      <c r="K98" s="439"/>
      <c r="L98" s="586">
        <v>37.5</v>
      </c>
      <c r="M98" s="586">
        <v>25</v>
      </c>
      <c r="N98" s="586">
        <v>50</v>
      </c>
      <c r="O98" s="596">
        <f t="shared" si="6"/>
        <v>2</v>
      </c>
      <c r="P98" s="587">
        <f t="shared" si="7"/>
        <v>75</v>
      </c>
      <c r="Q98" s="586">
        <v>20</v>
      </c>
      <c r="R98" s="586">
        <v>40</v>
      </c>
      <c r="S98" s="586"/>
      <c r="T98" s="596">
        <f t="shared" si="8"/>
        <v>2</v>
      </c>
      <c r="U98" s="587">
        <f t="shared" si="9"/>
        <v>40</v>
      </c>
      <c r="V98" s="585"/>
      <c r="W98" s="585"/>
      <c r="X98" s="585"/>
      <c r="Y98" s="585"/>
      <c r="Z98" s="585"/>
      <c r="AA98" s="439"/>
      <c r="AB98" s="439"/>
      <c r="AC98" s="439"/>
      <c r="AD98" s="439"/>
      <c r="AE98" s="439"/>
    </row>
    <row r="99" spans="1:31" ht="12.75" customHeight="1" x14ac:dyDescent="0.2">
      <c r="A99" s="786"/>
      <c r="B99" s="786"/>
      <c r="C99" s="786"/>
      <c r="D99" s="786"/>
      <c r="E99" s="786"/>
      <c r="F99" s="786"/>
      <c r="G99" s="786"/>
      <c r="K99" s="439"/>
      <c r="L99" s="586">
        <v>37.6</v>
      </c>
      <c r="M99" s="586">
        <v>80</v>
      </c>
      <c r="N99" s="586"/>
      <c r="O99" s="596">
        <f t="shared" si="6"/>
        <v>2.1276595744680851</v>
      </c>
      <c r="P99" s="587">
        <f t="shared" si="7"/>
        <v>80</v>
      </c>
      <c r="Q99" s="586">
        <v>20.100000000000001</v>
      </c>
      <c r="R99" s="586">
        <v>15</v>
      </c>
      <c r="S99" s="586">
        <v>30</v>
      </c>
      <c r="T99" s="596">
        <f t="shared" si="8"/>
        <v>2.2388059701492535</v>
      </c>
      <c r="U99" s="587">
        <f t="shared" si="9"/>
        <v>45</v>
      </c>
      <c r="V99" s="585"/>
      <c r="W99" s="585"/>
      <c r="X99" s="585"/>
      <c r="Y99" s="585"/>
      <c r="Z99" s="585"/>
      <c r="AA99" s="439"/>
      <c r="AB99" s="439"/>
      <c r="AC99" s="439"/>
      <c r="AD99" s="439"/>
      <c r="AE99" s="439"/>
    </row>
    <row r="100" spans="1:31" ht="12.75" customHeight="1" x14ac:dyDescent="0.2">
      <c r="A100" s="786"/>
      <c r="B100" s="786"/>
      <c r="C100" s="786"/>
      <c r="D100" s="786"/>
      <c r="E100" s="786"/>
      <c r="F100" s="786"/>
      <c r="G100" s="786"/>
      <c r="K100" s="439"/>
      <c r="L100" s="586">
        <v>40</v>
      </c>
      <c r="M100" s="586">
        <v>80</v>
      </c>
      <c r="N100" s="584"/>
      <c r="O100" s="596">
        <f t="shared" si="6"/>
        <v>2</v>
      </c>
      <c r="P100" s="587">
        <f t="shared" si="7"/>
        <v>80</v>
      </c>
      <c r="Q100" s="586">
        <v>22.5</v>
      </c>
      <c r="R100" s="586">
        <v>15</v>
      </c>
      <c r="S100" s="586">
        <v>30</v>
      </c>
      <c r="T100" s="596">
        <f t="shared" si="8"/>
        <v>2</v>
      </c>
      <c r="U100" s="587">
        <f t="shared" si="9"/>
        <v>45</v>
      </c>
      <c r="V100" s="585"/>
      <c r="W100" s="585"/>
      <c r="X100" s="585"/>
      <c r="Y100" s="585"/>
      <c r="Z100" s="585"/>
      <c r="AA100" s="439"/>
      <c r="AB100" s="439"/>
      <c r="AC100" s="439"/>
      <c r="AD100" s="439"/>
      <c r="AE100" s="439"/>
    </row>
    <row r="101" spans="1:31" ht="12.75" customHeight="1" x14ac:dyDescent="0.2">
      <c r="A101" s="786"/>
      <c r="B101" s="786"/>
      <c r="C101" s="786"/>
      <c r="D101" s="786"/>
      <c r="E101" s="786"/>
      <c r="F101" s="786"/>
      <c r="G101" s="786"/>
      <c r="K101" s="439"/>
      <c r="L101" s="586">
        <v>40.1</v>
      </c>
      <c r="M101" s="584">
        <v>25</v>
      </c>
      <c r="N101" s="584">
        <v>60</v>
      </c>
      <c r="O101" s="596">
        <f t="shared" si="6"/>
        <v>2.1197007481296759</v>
      </c>
      <c r="P101" s="587">
        <f t="shared" si="7"/>
        <v>85</v>
      </c>
      <c r="Q101" s="586">
        <v>22.6</v>
      </c>
      <c r="R101" s="586">
        <v>50</v>
      </c>
      <c r="S101" s="586"/>
      <c r="T101" s="596">
        <f t="shared" si="8"/>
        <v>2.2123893805309733</v>
      </c>
      <c r="U101" s="587">
        <f t="shared" si="9"/>
        <v>50</v>
      </c>
      <c r="V101" s="585"/>
      <c r="W101" s="585"/>
      <c r="X101" s="585"/>
      <c r="Y101" s="585"/>
      <c r="Z101" s="585"/>
      <c r="AA101" s="439"/>
      <c r="AB101" s="439"/>
      <c r="AC101" s="439"/>
      <c r="AD101" s="439"/>
      <c r="AE101" s="439"/>
    </row>
    <row r="102" spans="1:31" ht="12.75" customHeight="1" x14ac:dyDescent="0.2">
      <c r="A102" s="786"/>
      <c r="B102" s="786"/>
      <c r="C102" s="786"/>
      <c r="D102" s="786"/>
      <c r="E102" s="786"/>
      <c r="F102" s="786"/>
      <c r="G102" s="786"/>
      <c r="K102" s="439"/>
      <c r="L102" s="586">
        <v>42.5</v>
      </c>
      <c r="M102" s="584">
        <v>25</v>
      </c>
      <c r="N102" s="584">
        <v>60</v>
      </c>
      <c r="O102" s="596">
        <f t="shared" si="6"/>
        <v>2</v>
      </c>
      <c r="P102" s="587">
        <f t="shared" si="7"/>
        <v>85</v>
      </c>
      <c r="Q102" s="586">
        <v>25</v>
      </c>
      <c r="R102" s="586">
        <v>50</v>
      </c>
      <c r="S102" s="584"/>
      <c r="T102" s="596">
        <f t="shared" si="8"/>
        <v>2</v>
      </c>
      <c r="U102" s="587">
        <f t="shared" si="9"/>
        <v>50</v>
      </c>
      <c r="V102" s="585"/>
      <c r="W102" s="585"/>
      <c r="X102" s="585"/>
      <c r="Y102" s="585"/>
      <c r="Z102" s="585"/>
      <c r="AA102" s="439"/>
      <c r="AB102" s="439"/>
      <c r="AC102" s="439"/>
      <c r="AD102" s="439"/>
      <c r="AE102" s="439"/>
    </row>
    <row r="103" spans="1:31" ht="33.75" customHeight="1" x14ac:dyDescent="0.2">
      <c r="A103" s="786"/>
      <c r="B103" s="790"/>
      <c r="C103" s="790"/>
      <c r="D103" s="790"/>
      <c r="E103" s="790"/>
      <c r="F103" s="790"/>
      <c r="G103" s="791"/>
      <c r="K103" s="439"/>
      <c r="L103" s="586">
        <v>42.6</v>
      </c>
      <c r="M103" s="584">
        <v>90</v>
      </c>
      <c r="N103" s="584"/>
      <c r="O103" s="596">
        <f t="shared" si="6"/>
        <v>2.112676056338028</v>
      </c>
      <c r="P103" s="587">
        <f t="shared" si="7"/>
        <v>90</v>
      </c>
      <c r="Q103" s="586">
        <v>25.1</v>
      </c>
      <c r="R103" s="584">
        <v>15</v>
      </c>
      <c r="S103" s="584">
        <v>40</v>
      </c>
      <c r="T103" s="596">
        <f t="shared" si="8"/>
        <v>2.191235059760956</v>
      </c>
      <c r="U103" s="587">
        <f t="shared" si="9"/>
        <v>55</v>
      </c>
      <c r="V103" s="585"/>
      <c r="W103" s="585"/>
      <c r="X103" s="585"/>
      <c r="Y103" s="585"/>
      <c r="Z103" s="585"/>
      <c r="AA103" s="439"/>
      <c r="AB103" s="439"/>
      <c r="AC103" s="439"/>
      <c r="AD103" s="439"/>
      <c r="AE103" s="439"/>
    </row>
    <row r="104" spans="1:31" ht="12.75" customHeight="1" x14ac:dyDescent="0.2">
      <c r="A104" s="786"/>
      <c r="B104" s="790"/>
      <c r="C104" s="790"/>
      <c r="D104" s="790"/>
      <c r="E104" s="790"/>
      <c r="F104" s="790"/>
      <c r="G104" s="791"/>
      <c r="K104" s="439"/>
      <c r="L104" s="586">
        <v>45</v>
      </c>
      <c r="M104" s="584">
        <v>90</v>
      </c>
      <c r="N104" s="584"/>
      <c r="O104" s="596">
        <f t="shared" si="6"/>
        <v>2</v>
      </c>
      <c r="P104" s="587">
        <f t="shared" si="7"/>
        <v>90</v>
      </c>
      <c r="Q104" s="586">
        <v>27.5</v>
      </c>
      <c r="R104" s="584">
        <v>15</v>
      </c>
      <c r="S104" s="584">
        <v>40</v>
      </c>
      <c r="T104" s="596">
        <f t="shared" si="8"/>
        <v>2</v>
      </c>
      <c r="U104" s="587">
        <f t="shared" si="9"/>
        <v>55</v>
      </c>
      <c r="V104" s="585"/>
      <c r="W104" s="585"/>
      <c r="X104" s="585"/>
      <c r="Y104" s="585"/>
      <c r="Z104" s="585"/>
      <c r="AA104" s="439"/>
      <c r="AB104" s="439"/>
      <c r="AC104" s="439"/>
      <c r="AD104" s="439"/>
      <c r="AE104" s="439"/>
    </row>
    <row r="105" spans="1:31" ht="12.75" customHeight="1" x14ac:dyDescent="0.2">
      <c r="A105" s="786"/>
      <c r="B105" s="790"/>
      <c r="C105" s="790"/>
      <c r="D105" s="790"/>
      <c r="E105" s="790"/>
      <c r="F105" s="790"/>
      <c r="G105" s="791"/>
      <c r="K105" s="439"/>
      <c r="L105" s="586">
        <v>45.1</v>
      </c>
      <c r="M105" s="584">
        <v>15</v>
      </c>
      <c r="N105" s="584">
        <v>80</v>
      </c>
      <c r="O105" s="596">
        <f t="shared" si="6"/>
        <v>2.106430155210643</v>
      </c>
      <c r="P105" s="587">
        <f t="shared" si="7"/>
        <v>95</v>
      </c>
      <c r="Q105" s="586">
        <v>27.6</v>
      </c>
      <c r="R105" s="584">
        <v>60</v>
      </c>
      <c r="S105" s="584"/>
      <c r="T105" s="596">
        <f t="shared" si="8"/>
        <v>2.1739130434782608</v>
      </c>
      <c r="U105" s="587">
        <f t="shared" si="9"/>
        <v>60</v>
      </c>
      <c r="V105" s="585"/>
      <c r="W105" s="585"/>
      <c r="X105" s="585"/>
      <c r="Y105" s="585"/>
      <c r="Z105" s="585"/>
      <c r="AA105" s="439"/>
      <c r="AB105" s="439"/>
      <c r="AC105" s="439"/>
      <c r="AD105" s="439"/>
      <c r="AE105" s="439"/>
    </row>
    <row r="106" spans="1:31" ht="12.75" customHeight="1" x14ac:dyDescent="0.2">
      <c r="A106" s="786"/>
      <c r="B106" s="790"/>
      <c r="C106" s="790"/>
      <c r="D106" s="790"/>
      <c r="E106" s="790"/>
      <c r="F106" s="790"/>
      <c r="G106" s="791"/>
      <c r="K106" s="439"/>
      <c r="L106" s="586">
        <v>47.5</v>
      </c>
      <c r="M106" s="584">
        <v>15</v>
      </c>
      <c r="N106" s="584">
        <v>80</v>
      </c>
      <c r="O106" s="596">
        <f t="shared" si="6"/>
        <v>2</v>
      </c>
      <c r="P106" s="587">
        <f t="shared" si="7"/>
        <v>95</v>
      </c>
      <c r="Q106" s="586">
        <v>30</v>
      </c>
      <c r="R106" s="584">
        <v>60</v>
      </c>
      <c r="S106" s="584"/>
      <c r="T106" s="596">
        <f t="shared" si="8"/>
        <v>2</v>
      </c>
      <c r="U106" s="587">
        <f t="shared" si="9"/>
        <v>60</v>
      </c>
      <c r="V106" s="585"/>
      <c r="W106" s="585"/>
      <c r="X106" s="585"/>
      <c r="Y106" s="585"/>
      <c r="Z106" s="585"/>
      <c r="AA106" s="439"/>
      <c r="AB106" s="439"/>
      <c r="AC106" s="439"/>
      <c r="AD106" s="439"/>
      <c r="AE106" s="439"/>
    </row>
    <row r="107" spans="1:31" ht="12.75" customHeight="1" x14ac:dyDescent="0.2">
      <c r="A107" s="786"/>
      <c r="B107" s="790"/>
      <c r="C107" s="790"/>
      <c r="D107" s="790"/>
      <c r="E107" s="790"/>
      <c r="F107" s="790"/>
      <c r="G107" s="791"/>
      <c r="K107" s="439"/>
      <c r="L107" s="586">
        <v>47.6</v>
      </c>
      <c r="M107" s="584">
        <v>100</v>
      </c>
      <c r="N107" s="584"/>
      <c r="O107" s="596">
        <f t="shared" si="6"/>
        <v>2.1008403361344539</v>
      </c>
      <c r="P107" s="587">
        <f t="shared" si="7"/>
        <v>100</v>
      </c>
      <c r="Q107" s="586">
        <v>30.1</v>
      </c>
      <c r="R107" s="584">
        <v>15</v>
      </c>
      <c r="S107" s="584">
        <v>50</v>
      </c>
      <c r="T107" s="596">
        <f t="shared" si="8"/>
        <v>2.1594684385382057</v>
      </c>
      <c r="U107" s="587">
        <f t="shared" si="9"/>
        <v>65</v>
      </c>
      <c r="V107" s="585"/>
      <c r="W107" s="585"/>
      <c r="X107" s="585"/>
      <c r="Y107" s="585"/>
      <c r="Z107" s="585"/>
      <c r="AA107" s="439"/>
      <c r="AB107" s="439"/>
      <c r="AC107" s="439"/>
      <c r="AD107" s="439"/>
      <c r="AE107" s="439"/>
    </row>
    <row r="108" spans="1:31" ht="15" customHeight="1" x14ac:dyDescent="0.2">
      <c r="A108" s="786"/>
      <c r="B108" s="790"/>
      <c r="C108" s="790"/>
      <c r="D108" s="790"/>
      <c r="E108" s="790"/>
      <c r="F108" s="790"/>
      <c r="G108" s="791"/>
      <c r="K108" s="439"/>
      <c r="L108" s="586">
        <v>50</v>
      </c>
      <c r="M108" s="584">
        <v>100</v>
      </c>
      <c r="N108" s="584"/>
      <c r="O108" s="596">
        <f t="shared" si="6"/>
        <v>2</v>
      </c>
      <c r="P108" s="587">
        <f t="shared" si="7"/>
        <v>100</v>
      </c>
      <c r="Q108" s="586">
        <v>32.5</v>
      </c>
      <c r="R108" s="584">
        <v>15</v>
      </c>
      <c r="S108" s="584">
        <v>50</v>
      </c>
      <c r="T108" s="596">
        <f t="shared" si="8"/>
        <v>2</v>
      </c>
      <c r="U108" s="587">
        <f t="shared" si="9"/>
        <v>65</v>
      </c>
      <c r="V108" s="585"/>
      <c r="W108" s="585"/>
      <c r="X108" s="585"/>
      <c r="Y108" s="585"/>
      <c r="Z108" s="585"/>
      <c r="AA108" s="439"/>
      <c r="AB108" s="439"/>
      <c r="AC108" s="439"/>
      <c r="AD108" s="439"/>
      <c r="AE108" s="439"/>
    </row>
    <row r="109" spans="1:31" ht="24" customHeight="1" x14ac:dyDescent="0.2">
      <c r="A109" s="786"/>
      <c r="B109" s="790"/>
      <c r="C109" s="790"/>
      <c r="D109" s="790"/>
      <c r="E109" s="790"/>
      <c r="F109" s="790"/>
      <c r="G109" s="791"/>
      <c r="K109" s="439"/>
      <c r="L109" s="586">
        <v>50.1</v>
      </c>
      <c r="M109" s="584">
        <v>15</v>
      </c>
      <c r="N109" s="584">
        <v>90</v>
      </c>
      <c r="O109" s="596">
        <f t="shared" si="6"/>
        <v>2.0958083832335328</v>
      </c>
      <c r="P109" s="587">
        <f t="shared" si="7"/>
        <v>105</v>
      </c>
      <c r="Q109" s="586">
        <v>32.6</v>
      </c>
      <c r="R109" s="584">
        <v>70</v>
      </c>
      <c r="S109" s="584"/>
      <c r="T109" s="596">
        <f t="shared" si="8"/>
        <v>2.147239263803681</v>
      </c>
      <c r="U109" s="587">
        <f t="shared" si="9"/>
        <v>70</v>
      </c>
      <c r="V109" s="585"/>
      <c r="W109" s="585"/>
      <c r="X109" s="585"/>
      <c r="Y109" s="585"/>
      <c r="Z109" s="585"/>
      <c r="AA109" s="439"/>
      <c r="AB109" s="439"/>
      <c r="AC109" s="439"/>
      <c r="AD109" s="439"/>
      <c r="AE109" s="439"/>
    </row>
    <row r="110" spans="1:31" ht="12.75" customHeight="1" x14ac:dyDescent="0.2">
      <c r="A110" s="786"/>
      <c r="B110" s="790"/>
      <c r="C110" s="790"/>
      <c r="D110" s="790"/>
      <c r="E110" s="790"/>
      <c r="F110" s="790"/>
      <c r="G110" s="791"/>
      <c r="K110" s="439"/>
      <c r="L110" s="586">
        <v>52.5</v>
      </c>
      <c r="M110" s="584">
        <v>15</v>
      </c>
      <c r="N110" s="584">
        <v>90</v>
      </c>
      <c r="O110" s="596">
        <f t="shared" si="6"/>
        <v>2</v>
      </c>
      <c r="P110" s="587">
        <f t="shared" si="7"/>
        <v>105</v>
      </c>
      <c r="Q110" s="586">
        <v>35</v>
      </c>
      <c r="R110" s="584">
        <v>70</v>
      </c>
      <c r="S110" s="584"/>
      <c r="T110" s="596">
        <f t="shared" si="8"/>
        <v>2</v>
      </c>
      <c r="U110" s="587">
        <f t="shared" si="9"/>
        <v>70</v>
      </c>
      <c r="V110" s="585"/>
      <c r="W110" s="585"/>
      <c r="X110" s="585"/>
      <c r="Y110" s="585"/>
      <c r="Z110" s="585"/>
      <c r="AA110" s="439"/>
      <c r="AB110" s="439"/>
      <c r="AC110" s="439"/>
      <c r="AD110" s="439"/>
      <c r="AE110" s="439"/>
    </row>
    <row r="111" spans="1:31" ht="12.75" customHeight="1" x14ac:dyDescent="0.2">
      <c r="A111" s="786"/>
      <c r="B111" s="786"/>
      <c r="C111" s="786"/>
      <c r="D111" s="786"/>
      <c r="E111" s="786"/>
      <c r="F111" s="786"/>
      <c r="G111" s="786"/>
      <c r="K111" s="439"/>
      <c r="L111" s="586">
        <v>52.6</v>
      </c>
      <c r="M111" s="584">
        <v>25</v>
      </c>
      <c r="N111" s="584">
        <v>90</v>
      </c>
      <c r="O111" s="596">
        <f t="shared" si="6"/>
        <v>2.1863117870722433</v>
      </c>
      <c r="P111" s="587">
        <f t="shared" si="7"/>
        <v>115</v>
      </c>
      <c r="Q111" s="586">
        <v>35.1</v>
      </c>
      <c r="R111" s="584">
        <v>15</v>
      </c>
      <c r="S111" s="584">
        <v>60</v>
      </c>
      <c r="T111" s="596">
        <f t="shared" si="8"/>
        <v>2.1367521367521367</v>
      </c>
      <c r="U111" s="587">
        <f t="shared" si="9"/>
        <v>75</v>
      </c>
      <c r="V111" s="585"/>
      <c r="W111" s="585"/>
      <c r="X111" s="585"/>
      <c r="Y111" s="585"/>
      <c r="Z111" s="585"/>
      <c r="AA111" s="439"/>
      <c r="AB111" s="439"/>
      <c r="AC111" s="439"/>
      <c r="AD111" s="439"/>
      <c r="AE111" s="439"/>
    </row>
    <row r="112" spans="1:31" ht="12.75" customHeight="1" x14ac:dyDescent="0.2">
      <c r="A112" s="786"/>
      <c r="B112" s="786"/>
      <c r="C112" s="786"/>
      <c r="D112" s="786"/>
      <c r="E112" s="786"/>
      <c r="F112" s="786"/>
      <c r="G112" s="786"/>
      <c r="K112" s="439"/>
      <c r="L112" s="586">
        <v>57.5</v>
      </c>
      <c r="M112" s="584">
        <v>25</v>
      </c>
      <c r="N112" s="584">
        <v>90</v>
      </c>
      <c r="O112" s="596">
        <f t="shared" si="6"/>
        <v>2</v>
      </c>
      <c r="P112" s="587">
        <f t="shared" si="7"/>
        <v>115</v>
      </c>
      <c r="Q112" s="586">
        <v>37.5</v>
      </c>
      <c r="R112" s="584">
        <v>15</v>
      </c>
      <c r="S112" s="584">
        <v>60</v>
      </c>
      <c r="T112" s="596">
        <f t="shared" si="8"/>
        <v>2</v>
      </c>
      <c r="U112" s="587">
        <f t="shared" si="9"/>
        <v>75</v>
      </c>
      <c r="V112" s="585"/>
      <c r="W112" s="585"/>
      <c r="X112" s="585"/>
      <c r="Y112" s="585"/>
      <c r="Z112" s="585"/>
      <c r="AA112" s="439"/>
      <c r="AB112" s="439"/>
      <c r="AC112" s="439"/>
      <c r="AD112" s="439"/>
      <c r="AE112" s="439"/>
    </row>
    <row r="113" spans="11:31" ht="12.75" customHeight="1" x14ac:dyDescent="0.2">
      <c r="K113" s="439"/>
      <c r="L113" s="586">
        <v>57.6</v>
      </c>
      <c r="M113" s="584">
        <v>120</v>
      </c>
      <c r="N113" s="584"/>
      <c r="O113" s="596">
        <f t="shared" si="6"/>
        <v>2.0833333333333335</v>
      </c>
      <c r="P113" s="587">
        <f t="shared" si="7"/>
        <v>120</v>
      </c>
      <c r="Q113" s="586">
        <v>37.6</v>
      </c>
      <c r="R113" s="584">
        <v>80</v>
      </c>
      <c r="S113" s="584"/>
      <c r="T113" s="596">
        <f t="shared" si="8"/>
        <v>2.1276595744680851</v>
      </c>
      <c r="U113" s="587">
        <f t="shared" si="9"/>
        <v>80</v>
      </c>
      <c r="V113" s="585"/>
      <c r="W113" s="585"/>
      <c r="X113" s="585"/>
      <c r="Y113" s="585"/>
      <c r="Z113" s="585"/>
      <c r="AA113" s="439"/>
      <c r="AB113" s="439"/>
      <c r="AC113" s="439"/>
      <c r="AD113" s="439"/>
      <c r="AE113" s="439"/>
    </row>
    <row r="114" spans="11:31" ht="12.75" customHeight="1" x14ac:dyDescent="0.2">
      <c r="K114" s="439"/>
      <c r="L114" s="586">
        <v>60</v>
      </c>
      <c r="M114" s="584">
        <v>120</v>
      </c>
      <c r="N114" s="584"/>
      <c r="O114" s="596">
        <f t="shared" si="6"/>
        <v>2</v>
      </c>
      <c r="P114" s="587">
        <f t="shared" si="7"/>
        <v>120</v>
      </c>
      <c r="Q114" s="586">
        <v>40</v>
      </c>
      <c r="R114" s="584">
        <v>80</v>
      </c>
      <c r="S114" s="584"/>
      <c r="T114" s="596">
        <f t="shared" si="8"/>
        <v>2</v>
      </c>
      <c r="U114" s="587">
        <f t="shared" si="9"/>
        <v>80</v>
      </c>
      <c r="V114" s="585"/>
      <c r="W114" s="585"/>
      <c r="X114" s="585"/>
      <c r="Y114" s="585"/>
      <c r="Z114" s="585"/>
      <c r="AA114" s="439"/>
      <c r="AB114" s="439"/>
      <c r="AC114" s="439"/>
      <c r="AD114" s="439"/>
      <c r="AE114" s="439"/>
    </row>
    <row r="115" spans="11:31" ht="12.75" customHeight="1" x14ac:dyDescent="0.2">
      <c r="K115" s="439"/>
      <c r="L115" s="586">
        <v>60.1</v>
      </c>
      <c r="M115" s="584">
        <v>25</v>
      </c>
      <c r="N115" s="584">
        <v>100</v>
      </c>
      <c r="O115" s="596">
        <f t="shared" si="6"/>
        <v>2.0798668885191347</v>
      </c>
      <c r="P115" s="587">
        <f t="shared" si="7"/>
        <v>125</v>
      </c>
      <c r="Q115" s="586">
        <v>40.1</v>
      </c>
      <c r="R115" s="584">
        <v>15</v>
      </c>
      <c r="S115" s="584">
        <v>70</v>
      </c>
      <c r="T115" s="596">
        <f t="shared" si="8"/>
        <v>2.1197007481296759</v>
      </c>
      <c r="U115" s="587">
        <f t="shared" si="9"/>
        <v>85</v>
      </c>
      <c r="V115" s="585"/>
      <c r="W115" s="585"/>
      <c r="X115" s="585"/>
      <c r="Y115" s="585"/>
      <c r="Z115" s="585"/>
      <c r="AA115" s="439"/>
      <c r="AB115" s="439"/>
      <c r="AC115" s="439"/>
      <c r="AD115" s="439"/>
      <c r="AE115" s="439"/>
    </row>
    <row r="116" spans="11:31" ht="12.75" customHeight="1" x14ac:dyDescent="0.2">
      <c r="K116" s="439"/>
      <c r="L116" s="586">
        <v>62.5</v>
      </c>
      <c r="M116" s="584">
        <v>25</v>
      </c>
      <c r="N116" s="584">
        <v>100</v>
      </c>
      <c r="O116" s="596">
        <f t="shared" si="6"/>
        <v>2</v>
      </c>
      <c r="P116" s="587">
        <f t="shared" si="7"/>
        <v>125</v>
      </c>
      <c r="Q116" s="586">
        <v>42.5</v>
      </c>
      <c r="R116" s="584">
        <v>15</v>
      </c>
      <c r="S116" s="584">
        <v>70</v>
      </c>
      <c r="T116" s="596">
        <f t="shared" si="8"/>
        <v>2</v>
      </c>
      <c r="U116" s="587">
        <f t="shared" si="9"/>
        <v>85</v>
      </c>
      <c r="V116" s="585"/>
      <c r="W116" s="585"/>
      <c r="X116" s="585"/>
      <c r="Y116" s="585"/>
      <c r="Z116" s="585"/>
      <c r="AA116" s="439"/>
      <c r="AB116" s="439"/>
      <c r="AC116" s="439"/>
      <c r="AD116" s="439"/>
      <c r="AE116" s="439"/>
    </row>
    <row r="117" spans="11:31" ht="12.75" customHeight="1" x14ac:dyDescent="0.2">
      <c r="K117" s="439"/>
      <c r="L117" s="586">
        <v>62.6</v>
      </c>
      <c r="M117" s="584">
        <v>50</v>
      </c>
      <c r="N117" s="584">
        <v>80</v>
      </c>
      <c r="O117" s="596">
        <f t="shared" si="6"/>
        <v>2.0766773162939298</v>
      </c>
      <c r="P117" s="587">
        <f t="shared" si="7"/>
        <v>130</v>
      </c>
      <c r="Q117" s="586">
        <v>42.6</v>
      </c>
      <c r="R117" s="584">
        <v>10</v>
      </c>
      <c r="S117" s="584">
        <v>80</v>
      </c>
      <c r="T117" s="596">
        <f t="shared" si="8"/>
        <v>2.112676056338028</v>
      </c>
      <c r="U117" s="587">
        <f t="shared" si="9"/>
        <v>90</v>
      </c>
      <c r="V117" s="585"/>
      <c r="W117" s="585"/>
      <c r="X117" s="585"/>
      <c r="Y117" s="585"/>
      <c r="Z117" s="585"/>
      <c r="AA117" s="439"/>
      <c r="AB117" s="439"/>
      <c r="AC117" s="439"/>
      <c r="AD117" s="439"/>
      <c r="AE117" s="439"/>
    </row>
    <row r="118" spans="11:31" ht="12.75" customHeight="1" x14ac:dyDescent="0.2">
      <c r="K118" s="439"/>
      <c r="L118" s="586">
        <v>65</v>
      </c>
      <c r="M118" s="584">
        <v>50</v>
      </c>
      <c r="N118" s="584">
        <v>80</v>
      </c>
      <c r="O118" s="596">
        <f t="shared" si="6"/>
        <v>2</v>
      </c>
      <c r="P118" s="587">
        <f t="shared" si="7"/>
        <v>130</v>
      </c>
      <c r="Q118" s="586">
        <v>45</v>
      </c>
      <c r="R118" s="584">
        <v>10</v>
      </c>
      <c r="S118" s="584">
        <v>80</v>
      </c>
      <c r="T118" s="596">
        <f t="shared" si="8"/>
        <v>2</v>
      </c>
      <c r="U118" s="587">
        <f t="shared" si="9"/>
        <v>90</v>
      </c>
      <c r="V118" s="585"/>
      <c r="W118" s="585"/>
      <c r="X118" s="585"/>
      <c r="Y118" s="585"/>
      <c r="Z118" s="585"/>
      <c r="AA118" s="439"/>
      <c r="AB118" s="439"/>
      <c r="AC118" s="439"/>
      <c r="AD118" s="439"/>
      <c r="AE118" s="439"/>
    </row>
    <row r="119" spans="11:31" ht="12.75" customHeight="1" x14ac:dyDescent="0.2">
      <c r="K119" s="439"/>
      <c r="L119" s="586">
        <v>65.099999999999994</v>
      </c>
      <c r="M119" s="584">
        <v>15</v>
      </c>
      <c r="N119" s="584">
        <v>120</v>
      </c>
      <c r="O119" s="596">
        <f t="shared" si="6"/>
        <v>2.0737327188940093</v>
      </c>
      <c r="P119" s="587">
        <f t="shared" si="7"/>
        <v>135</v>
      </c>
      <c r="Q119" s="586">
        <v>45.1</v>
      </c>
      <c r="R119" s="584">
        <v>15</v>
      </c>
      <c r="S119" s="584">
        <v>80</v>
      </c>
      <c r="T119" s="596">
        <f t="shared" si="8"/>
        <v>2.106430155210643</v>
      </c>
      <c r="U119" s="587">
        <f t="shared" si="9"/>
        <v>95</v>
      </c>
      <c r="V119" s="585"/>
      <c r="W119" s="585"/>
      <c r="X119" s="585"/>
      <c r="Y119" s="585"/>
      <c r="Z119" s="585"/>
      <c r="AA119" s="439"/>
      <c r="AB119" s="439"/>
      <c r="AC119" s="439"/>
      <c r="AD119" s="439"/>
      <c r="AE119" s="439"/>
    </row>
    <row r="120" spans="11:31" ht="12.75" customHeight="1" x14ac:dyDescent="0.2">
      <c r="K120" s="439"/>
      <c r="L120" s="586">
        <v>67.5</v>
      </c>
      <c r="M120" s="584">
        <v>15</v>
      </c>
      <c r="N120" s="584">
        <v>120</v>
      </c>
      <c r="O120" s="596">
        <f t="shared" si="6"/>
        <v>2</v>
      </c>
      <c r="P120" s="587">
        <f t="shared" si="7"/>
        <v>135</v>
      </c>
      <c r="Q120" s="586">
        <v>47.5</v>
      </c>
      <c r="R120" s="584">
        <v>15</v>
      </c>
      <c r="S120" s="584">
        <v>80</v>
      </c>
      <c r="T120" s="596">
        <f t="shared" si="8"/>
        <v>2</v>
      </c>
      <c r="U120" s="587">
        <f t="shared" si="9"/>
        <v>95</v>
      </c>
      <c r="V120" s="585"/>
      <c r="W120" s="585"/>
      <c r="X120" s="585"/>
      <c r="Y120" s="585"/>
      <c r="Z120" s="585"/>
      <c r="AA120" s="439"/>
      <c r="AB120" s="439"/>
      <c r="AC120" s="439"/>
      <c r="AD120" s="439"/>
      <c r="AE120" s="439"/>
    </row>
    <row r="121" spans="11:31" ht="12.75" customHeight="1" x14ac:dyDescent="0.2">
      <c r="K121" s="439"/>
      <c r="L121" s="586">
        <v>67.599999999999994</v>
      </c>
      <c r="M121" s="584">
        <v>140</v>
      </c>
      <c r="N121" s="584"/>
      <c r="O121" s="596">
        <f t="shared" si="6"/>
        <v>2.0710059171597637</v>
      </c>
      <c r="P121" s="587">
        <f t="shared" si="7"/>
        <v>140</v>
      </c>
      <c r="Q121" s="586">
        <v>47.6</v>
      </c>
      <c r="R121" s="584">
        <v>100</v>
      </c>
      <c r="S121" s="584"/>
      <c r="T121" s="596">
        <f t="shared" si="8"/>
        <v>2.1008403361344539</v>
      </c>
      <c r="U121" s="587">
        <f t="shared" si="9"/>
        <v>100</v>
      </c>
      <c r="V121" s="585"/>
      <c r="W121" s="585"/>
      <c r="X121" s="585"/>
      <c r="Y121" s="585"/>
      <c r="Z121" s="585"/>
      <c r="AA121" s="439"/>
      <c r="AB121" s="439"/>
      <c r="AC121" s="439"/>
      <c r="AD121" s="439"/>
      <c r="AE121" s="439"/>
    </row>
    <row r="122" spans="11:31" ht="12.75" customHeight="1" x14ac:dyDescent="0.2">
      <c r="K122" s="439"/>
      <c r="L122" s="586">
        <v>70</v>
      </c>
      <c r="M122" s="584">
        <v>140</v>
      </c>
      <c r="N122" s="584"/>
      <c r="O122" s="596">
        <f t="shared" si="6"/>
        <v>2</v>
      </c>
      <c r="P122" s="587">
        <f t="shared" si="7"/>
        <v>140</v>
      </c>
      <c r="Q122" s="586">
        <v>50</v>
      </c>
      <c r="R122" s="584">
        <v>100</v>
      </c>
      <c r="S122" s="584"/>
      <c r="T122" s="596">
        <f t="shared" si="8"/>
        <v>2</v>
      </c>
      <c r="U122" s="587">
        <f t="shared" si="9"/>
        <v>100</v>
      </c>
      <c r="V122" s="585"/>
      <c r="W122" s="585"/>
      <c r="X122" s="585"/>
      <c r="Y122" s="585"/>
      <c r="Z122" s="585"/>
      <c r="AA122" s="439"/>
      <c r="AB122" s="439"/>
      <c r="AC122" s="439"/>
      <c r="AD122" s="439"/>
      <c r="AE122" s="439"/>
    </row>
    <row r="123" spans="11:31" ht="12.75" customHeight="1" x14ac:dyDescent="0.2">
      <c r="K123" s="439"/>
      <c r="L123" s="586">
        <v>70.099999999999994</v>
      </c>
      <c r="M123" s="584">
        <v>25</v>
      </c>
      <c r="N123" s="584">
        <v>120</v>
      </c>
      <c r="O123" s="596">
        <f t="shared" si="6"/>
        <v>2.0684736091298146</v>
      </c>
      <c r="P123" s="587">
        <f t="shared" si="7"/>
        <v>145</v>
      </c>
      <c r="Q123" s="586">
        <v>50.1</v>
      </c>
      <c r="R123" s="584">
        <v>25</v>
      </c>
      <c r="S123" s="584">
        <v>80</v>
      </c>
      <c r="T123" s="596">
        <f t="shared" si="8"/>
        <v>2.0958083832335328</v>
      </c>
      <c r="U123" s="587">
        <f t="shared" si="9"/>
        <v>105</v>
      </c>
      <c r="V123" s="585"/>
      <c r="W123" s="585"/>
      <c r="X123" s="585"/>
      <c r="Y123" s="585"/>
      <c r="Z123" s="585"/>
      <c r="AA123" s="439"/>
      <c r="AB123" s="439"/>
      <c r="AC123" s="439"/>
      <c r="AD123" s="439"/>
      <c r="AE123" s="439"/>
    </row>
    <row r="124" spans="11:31" ht="12.75" customHeight="1" x14ac:dyDescent="0.2">
      <c r="K124" s="439"/>
      <c r="L124" s="586">
        <v>72.5</v>
      </c>
      <c r="M124" s="584">
        <v>25</v>
      </c>
      <c r="N124" s="584">
        <v>120</v>
      </c>
      <c r="O124" s="596">
        <f t="shared" si="6"/>
        <v>2</v>
      </c>
      <c r="P124" s="587">
        <f t="shared" si="7"/>
        <v>145</v>
      </c>
      <c r="Q124" s="586">
        <v>52.5</v>
      </c>
      <c r="R124" s="584">
        <v>25</v>
      </c>
      <c r="S124" s="584">
        <v>80</v>
      </c>
      <c r="T124" s="596">
        <f t="shared" si="8"/>
        <v>2</v>
      </c>
      <c r="U124" s="587">
        <f t="shared" si="9"/>
        <v>105</v>
      </c>
      <c r="V124" s="585"/>
      <c r="W124" s="585"/>
      <c r="X124" s="585"/>
      <c r="Y124" s="585"/>
      <c r="Z124" s="585"/>
      <c r="AA124" s="439"/>
      <c r="AB124" s="439"/>
      <c r="AC124" s="439"/>
      <c r="AD124" s="439"/>
      <c r="AE124" s="439"/>
    </row>
    <row r="125" spans="11:31" ht="12.75" customHeight="1" x14ac:dyDescent="0.2">
      <c r="K125" s="439"/>
      <c r="L125" s="586">
        <v>72.599999999999994</v>
      </c>
      <c r="M125" s="584">
        <v>60</v>
      </c>
      <c r="N125" s="584">
        <v>90</v>
      </c>
      <c r="O125" s="596">
        <f t="shared" si="6"/>
        <v>2.0661157024793391</v>
      </c>
      <c r="P125" s="587">
        <f t="shared" si="7"/>
        <v>150</v>
      </c>
      <c r="Q125" s="586">
        <v>52.6</v>
      </c>
      <c r="R125" s="584">
        <v>113.4</v>
      </c>
      <c r="S125" s="584"/>
      <c r="T125" s="596">
        <f t="shared" si="8"/>
        <v>2.1558935361216731</v>
      </c>
      <c r="U125" s="587">
        <f t="shared" si="9"/>
        <v>113.4</v>
      </c>
      <c r="V125" s="585"/>
      <c r="W125" s="585"/>
      <c r="X125" s="585"/>
      <c r="Y125" s="585"/>
      <c r="Z125" s="585"/>
      <c r="AA125" s="439"/>
      <c r="AB125" s="439"/>
      <c r="AC125" s="439"/>
      <c r="AD125" s="439"/>
      <c r="AE125" s="439"/>
    </row>
    <row r="126" spans="11:31" ht="12.75" customHeight="1" x14ac:dyDescent="0.2">
      <c r="K126" s="439"/>
      <c r="L126" s="586">
        <v>75</v>
      </c>
      <c r="M126" s="584">
        <v>60</v>
      </c>
      <c r="N126" s="584">
        <v>90</v>
      </c>
      <c r="O126" s="596">
        <f t="shared" si="6"/>
        <v>2</v>
      </c>
      <c r="P126" s="587">
        <f t="shared" si="7"/>
        <v>150</v>
      </c>
      <c r="Q126" s="586">
        <v>56.7</v>
      </c>
      <c r="R126" s="584">
        <v>113.4</v>
      </c>
      <c r="S126" s="584"/>
      <c r="T126" s="596">
        <f t="shared" si="8"/>
        <v>2</v>
      </c>
      <c r="U126" s="587">
        <f t="shared" si="9"/>
        <v>113.4</v>
      </c>
      <c r="V126" s="585"/>
      <c r="W126" s="585"/>
      <c r="X126" s="585"/>
      <c r="Y126" s="585"/>
      <c r="Z126" s="585"/>
      <c r="AA126" s="439"/>
      <c r="AB126" s="439"/>
      <c r="AC126" s="439"/>
      <c r="AD126" s="439"/>
      <c r="AE126" s="439"/>
    </row>
    <row r="127" spans="11:31" ht="12.75" customHeight="1" x14ac:dyDescent="0.2">
      <c r="K127" s="439"/>
      <c r="L127" s="586">
        <v>75.099999999999994</v>
      </c>
      <c r="M127" s="584">
        <v>15</v>
      </c>
      <c r="N127" s="584">
        <v>140</v>
      </c>
      <c r="O127" s="596">
        <f t="shared" si="6"/>
        <v>2.0639147802929427</v>
      </c>
      <c r="P127" s="587">
        <f t="shared" si="7"/>
        <v>155</v>
      </c>
      <c r="Q127" s="586">
        <v>56.8</v>
      </c>
      <c r="R127" s="584">
        <v>120</v>
      </c>
      <c r="S127" s="584"/>
      <c r="T127" s="596">
        <f t="shared" si="8"/>
        <v>2.1126760563380285</v>
      </c>
      <c r="U127" s="587">
        <f t="shared" si="9"/>
        <v>120</v>
      </c>
      <c r="V127" s="585"/>
      <c r="W127" s="585"/>
      <c r="X127" s="585"/>
      <c r="Y127" s="585"/>
      <c r="Z127" s="585"/>
      <c r="AA127" s="439"/>
      <c r="AB127" s="439"/>
      <c r="AC127" s="439"/>
      <c r="AD127" s="439"/>
      <c r="AE127" s="439"/>
    </row>
    <row r="128" spans="11:31" ht="12.75" customHeight="1" x14ac:dyDescent="0.2">
      <c r="K128" s="439"/>
      <c r="L128" s="586">
        <v>77.5</v>
      </c>
      <c r="M128" s="584">
        <v>15</v>
      </c>
      <c r="N128" s="584">
        <v>140</v>
      </c>
      <c r="O128" s="596">
        <f t="shared" si="6"/>
        <v>2</v>
      </c>
      <c r="P128" s="587">
        <f t="shared" si="7"/>
        <v>155</v>
      </c>
      <c r="Q128" s="586">
        <v>60</v>
      </c>
      <c r="R128" s="584">
        <v>120</v>
      </c>
      <c r="S128" s="584"/>
      <c r="T128" s="596">
        <f t="shared" si="8"/>
        <v>2</v>
      </c>
      <c r="U128" s="587">
        <f t="shared" si="9"/>
        <v>120</v>
      </c>
      <c r="V128" s="585"/>
      <c r="W128" s="585"/>
      <c r="X128" s="585"/>
      <c r="Y128" s="585"/>
      <c r="Z128" s="585"/>
      <c r="AA128" s="439"/>
      <c r="AB128" s="439"/>
      <c r="AC128" s="439"/>
      <c r="AD128" s="439"/>
      <c r="AE128" s="439"/>
    </row>
    <row r="129" spans="11:31" ht="12.75" customHeight="1" x14ac:dyDescent="0.2">
      <c r="K129" s="439"/>
      <c r="L129" s="586">
        <v>77.599999999999994</v>
      </c>
      <c r="M129" s="584">
        <v>160</v>
      </c>
      <c r="N129" s="584"/>
      <c r="O129" s="596">
        <f t="shared" si="6"/>
        <v>2.061855670103093</v>
      </c>
      <c r="P129" s="587">
        <f t="shared" si="7"/>
        <v>160</v>
      </c>
      <c r="Q129" s="586">
        <v>60.1</v>
      </c>
      <c r="R129" s="584">
        <v>10</v>
      </c>
      <c r="S129" s="584">
        <v>120</v>
      </c>
      <c r="T129" s="596">
        <f t="shared" si="8"/>
        <v>2.1630615640599</v>
      </c>
      <c r="U129" s="587">
        <f t="shared" si="9"/>
        <v>130</v>
      </c>
      <c r="V129" s="585"/>
      <c r="W129" s="585"/>
      <c r="X129" s="585"/>
      <c r="Y129" s="585"/>
      <c r="Z129" s="585"/>
      <c r="AA129" s="439"/>
      <c r="AB129" s="439"/>
      <c r="AC129" s="439"/>
      <c r="AD129" s="439"/>
      <c r="AE129" s="439"/>
    </row>
    <row r="130" spans="11:31" ht="12.75" customHeight="1" x14ac:dyDescent="0.2">
      <c r="K130" s="439"/>
      <c r="L130" s="586">
        <v>80</v>
      </c>
      <c r="M130" s="584">
        <v>160</v>
      </c>
      <c r="N130" s="584"/>
      <c r="O130" s="596">
        <f t="shared" si="6"/>
        <v>2</v>
      </c>
      <c r="P130" s="587">
        <f t="shared" si="7"/>
        <v>160</v>
      </c>
      <c r="Q130" s="586">
        <v>65</v>
      </c>
      <c r="R130" s="584">
        <v>10</v>
      </c>
      <c r="S130" s="584">
        <v>120</v>
      </c>
      <c r="T130" s="596">
        <f t="shared" si="8"/>
        <v>2</v>
      </c>
      <c r="U130" s="587">
        <f t="shared" si="9"/>
        <v>130</v>
      </c>
      <c r="V130" s="585"/>
      <c r="W130" s="585"/>
      <c r="X130" s="585"/>
      <c r="Y130" s="585"/>
      <c r="Z130" s="585"/>
      <c r="AA130" s="439"/>
      <c r="AB130" s="439"/>
      <c r="AC130" s="439"/>
      <c r="AD130" s="439"/>
      <c r="AE130" s="439"/>
    </row>
    <row r="131" spans="11:31" ht="12.75" customHeight="1" x14ac:dyDescent="0.2">
      <c r="K131" s="439"/>
      <c r="L131" s="586">
        <v>80.099999999999994</v>
      </c>
      <c r="M131" s="584">
        <v>80</v>
      </c>
      <c r="N131" s="584">
        <v>90</v>
      </c>
      <c r="O131" s="596">
        <f t="shared" si="6"/>
        <v>2.1223470661672912</v>
      </c>
      <c r="P131" s="587">
        <f t="shared" si="7"/>
        <v>170</v>
      </c>
      <c r="Q131" s="586">
        <v>65.099999999999994</v>
      </c>
      <c r="R131" s="584">
        <v>140</v>
      </c>
      <c r="S131" s="584"/>
      <c r="T131" s="596">
        <f t="shared" si="8"/>
        <v>2.1505376344086025</v>
      </c>
      <c r="U131" s="587">
        <f t="shared" si="9"/>
        <v>140</v>
      </c>
      <c r="V131" s="585"/>
      <c r="W131" s="585"/>
      <c r="X131" s="585"/>
      <c r="Y131" s="585"/>
      <c r="Z131" s="585"/>
      <c r="AA131" s="439"/>
      <c r="AB131" s="439"/>
      <c r="AC131" s="439"/>
      <c r="AD131" s="439"/>
      <c r="AE131" s="439"/>
    </row>
    <row r="132" spans="11:31" ht="12.75" customHeight="1" x14ac:dyDescent="0.2">
      <c r="K132" s="439"/>
      <c r="L132" s="586">
        <v>85</v>
      </c>
      <c r="M132" s="584">
        <v>80</v>
      </c>
      <c r="N132" s="584">
        <v>90</v>
      </c>
      <c r="O132" s="596">
        <f t="shared" si="6"/>
        <v>2</v>
      </c>
      <c r="P132" s="587">
        <f t="shared" si="7"/>
        <v>170</v>
      </c>
      <c r="Q132" s="586">
        <v>70</v>
      </c>
      <c r="R132" s="584">
        <v>140</v>
      </c>
      <c r="S132" s="584"/>
      <c r="T132" s="596">
        <f t="shared" si="8"/>
        <v>2</v>
      </c>
      <c r="U132" s="587">
        <f t="shared" si="9"/>
        <v>140</v>
      </c>
      <c r="V132" s="585"/>
      <c r="W132" s="585"/>
      <c r="X132" s="585"/>
      <c r="Y132" s="585"/>
      <c r="Z132" s="585"/>
      <c r="AA132" s="439"/>
      <c r="AB132" s="439"/>
      <c r="AC132" s="439"/>
      <c r="AD132" s="439"/>
      <c r="AE132" s="439"/>
    </row>
    <row r="133" spans="11:31" ht="12.75" customHeight="1" x14ac:dyDescent="0.2">
      <c r="K133" s="439"/>
      <c r="L133" s="586">
        <v>85.1</v>
      </c>
      <c r="M133" s="584">
        <v>15</v>
      </c>
      <c r="N133" s="584">
        <v>160</v>
      </c>
      <c r="O133" s="596">
        <f t="shared" si="6"/>
        <v>2.0564042303172738</v>
      </c>
      <c r="P133" s="587">
        <f t="shared" si="7"/>
        <v>175</v>
      </c>
      <c r="Q133" s="586">
        <v>70.099999999999994</v>
      </c>
      <c r="R133" s="584">
        <v>10</v>
      </c>
      <c r="S133" s="584">
        <v>140</v>
      </c>
      <c r="T133" s="596">
        <f t="shared" si="8"/>
        <v>2.1398002853067051</v>
      </c>
      <c r="U133" s="587">
        <f t="shared" si="9"/>
        <v>150</v>
      </c>
      <c r="V133" s="585"/>
      <c r="W133" s="585"/>
      <c r="X133" s="585"/>
      <c r="Y133" s="585"/>
      <c r="Z133" s="585"/>
      <c r="AA133" s="439"/>
      <c r="AB133" s="439"/>
      <c r="AC133" s="439"/>
      <c r="AD133" s="439"/>
      <c r="AE133" s="439"/>
    </row>
    <row r="134" spans="11:31" ht="12.75" customHeight="1" x14ac:dyDescent="0.2">
      <c r="K134" s="439"/>
      <c r="L134" s="586">
        <v>87.5</v>
      </c>
      <c r="M134" s="584">
        <v>15</v>
      </c>
      <c r="N134" s="584">
        <v>160</v>
      </c>
      <c r="O134" s="596">
        <f t="shared" si="6"/>
        <v>2</v>
      </c>
      <c r="P134" s="587">
        <f t="shared" si="7"/>
        <v>175</v>
      </c>
      <c r="Q134" s="586">
        <v>75</v>
      </c>
      <c r="R134" s="584">
        <v>10</v>
      </c>
      <c r="S134" s="584">
        <v>140</v>
      </c>
      <c r="T134" s="596">
        <f t="shared" si="8"/>
        <v>2</v>
      </c>
      <c r="U134" s="587">
        <f t="shared" si="9"/>
        <v>150</v>
      </c>
      <c r="V134" s="585"/>
      <c r="W134" s="585"/>
      <c r="X134" s="585"/>
      <c r="Y134" s="585"/>
      <c r="Z134" s="585"/>
      <c r="AA134" s="439"/>
      <c r="AB134" s="439"/>
      <c r="AC134" s="439"/>
      <c r="AD134" s="439"/>
      <c r="AE134" s="439"/>
    </row>
    <row r="135" spans="11:31" ht="12.75" customHeight="1" x14ac:dyDescent="0.2">
      <c r="K135" s="439"/>
      <c r="L135" s="586">
        <v>87.6</v>
      </c>
      <c r="M135" s="584">
        <v>80</v>
      </c>
      <c r="N135" s="584">
        <v>100</v>
      </c>
      <c r="O135" s="596">
        <f t="shared" si="6"/>
        <v>2.0547945205479454</v>
      </c>
      <c r="P135" s="587">
        <f t="shared" si="7"/>
        <v>180</v>
      </c>
      <c r="Q135" s="586">
        <v>75.099999999999994</v>
      </c>
      <c r="R135" s="584">
        <v>15</v>
      </c>
      <c r="S135" s="584">
        <v>140</v>
      </c>
      <c r="T135" s="596">
        <f t="shared" si="8"/>
        <v>2.0639147802929427</v>
      </c>
      <c r="U135" s="587">
        <f t="shared" si="9"/>
        <v>155</v>
      </c>
      <c r="V135" s="585"/>
      <c r="W135" s="585"/>
      <c r="X135" s="585"/>
      <c r="Y135" s="585"/>
      <c r="Z135" s="585"/>
      <c r="AA135" s="439"/>
      <c r="AB135" s="439"/>
      <c r="AC135" s="439"/>
      <c r="AD135" s="439"/>
      <c r="AE135" s="439"/>
    </row>
    <row r="136" spans="11:31" ht="12.75" customHeight="1" x14ac:dyDescent="0.2">
      <c r="K136" s="439"/>
      <c r="L136" s="586">
        <v>90</v>
      </c>
      <c r="M136" s="584">
        <v>80</v>
      </c>
      <c r="N136" s="584">
        <v>100</v>
      </c>
      <c r="O136" s="596">
        <f t="shared" si="6"/>
        <v>2</v>
      </c>
      <c r="P136" s="587">
        <f t="shared" si="7"/>
        <v>180</v>
      </c>
      <c r="Q136" s="586">
        <v>77.5</v>
      </c>
      <c r="R136" s="584">
        <v>15</v>
      </c>
      <c r="S136" s="584">
        <v>140</v>
      </c>
      <c r="T136" s="596">
        <f t="shared" si="8"/>
        <v>2</v>
      </c>
      <c r="U136" s="587">
        <f t="shared" si="9"/>
        <v>155</v>
      </c>
      <c r="V136" s="585"/>
      <c r="W136" s="585"/>
      <c r="X136" s="585"/>
      <c r="Y136" s="585"/>
      <c r="Z136" s="585"/>
      <c r="AA136" s="439"/>
      <c r="AB136" s="439"/>
      <c r="AC136" s="439"/>
      <c r="AD136" s="439"/>
      <c r="AE136" s="439"/>
    </row>
    <row r="137" spans="11:31" ht="12.75" customHeight="1" x14ac:dyDescent="0.2">
      <c r="K137" s="439"/>
      <c r="L137" s="586">
        <v>90.1</v>
      </c>
      <c r="M137" s="584">
        <v>25</v>
      </c>
      <c r="N137" s="584">
        <v>160</v>
      </c>
      <c r="O137" s="596">
        <f t="shared" si="6"/>
        <v>2.0532741398446173</v>
      </c>
      <c r="P137" s="587">
        <f t="shared" si="7"/>
        <v>185</v>
      </c>
      <c r="Q137" s="586">
        <v>77.599999999999994</v>
      </c>
      <c r="R137" s="584">
        <v>80</v>
      </c>
      <c r="S137" s="584">
        <v>80</v>
      </c>
      <c r="T137" s="596">
        <f t="shared" si="8"/>
        <v>2.061855670103093</v>
      </c>
      <c r="U137" s="587">
        <f t="shared" si="9"/>
        <v>160</v>
      </c>
      <c r="V137" s="585"/>
      <c r="W137" s="585"/>
      <c r="X137" s="585"/>
      <c r="Y137" s="585"/>
      <c r="Z137" s="585"/>
      <c r="AA137" s="439"/>
      <c r="AB137" s="439"/>
      <c r="AC137" s="439"/>
      <c r="AD137" s="439"/>
      <c r="AE137" s="439"/>
    </row>
    <row r="138" spans="11:31" ht="12.75" customHeight="1" x14ac:dyDescent="0.2">
      <c r="K138" s="439"/>
      <c r="L138" s="586">
        <v>92.5</v>
      </c>
      <c r="M138" s="584">
        <v>25</v>
      </c>
      <c r="N138" s="584">
        <v>160</v>
      </c>
      <c r="O138" s="596">
        <f t="shared" si="6"/>
        <v>2</v>
      </c>
      <c r="P138" s="587">
        <f t="shared" si="7"/>
        <v>185</v>
      </c>
      <c r="Q138" s="586">
        <v>80</v>
      </c>
      <c r="R138" s="584">
        <v>80</v>
      </c>
      <c r="S138" s="584">
        <v>80</v>
      </c>
      <c r="T138" s="596">
        <f t="shared" si="8"/>
        <v>2</v>
      </c>
      <c r="U138" s="587">
        <f t="shared" si="9"/>
        <v>160</v>
      </c>
      <c r="V138" s="585"/>
      <c r="W138" s="585"/>
      <c r="X138" s="585"/>
      <c r="Y138" s="585"/>
      <c r="Z138" s="585"/>
      <c r="AA138" s="439"/>
      <c r="AB138" s="439"/>
      <c r="AC138" s="439"/>
      <c r="AD138" s="439"/>
      <c r="AE138" s="439"/>
    </row>
    <row r="139" spans="11:31" ht="12.75" customHeight="1" x14ac:dyDescent="0.2">
      <c r="K139" s="439"/>
      <c r="L139" s="586">
        <v>92.6</v>
      </c>
      <c r="M139" s="584">
        <v>90</v>
      </c>
      <c r="N139" s="584">
        <v>100</v>
      </c>
      <c r="O139" s="596">
        <f t="shared" si="6"/>
        <v>2.0518358531317498</v>
      </c>
      <c r="P139" s="587">
        <f t="shared" si="7"/>
        <v>190</v>
      </c>
      <c r="Q139" s="586">
        <v>80.099999999999994</v>
      </c>
      <c r="R139" s="584">
        <v>25</v>
      </c>
      <c r="S139" s="584">
        <v>140</v>
      </c>
      <c r="T139" s="596">
        <f t="shared" si="8"/>
        <v>2.0599250936329589</v>
      </c>
      <c r="U139" s="587">
        <f t="shared" si="9"/>
        <v>165</v>
      </c>
      <c r="V139" s="585"/>
      <c r="W139" s="585"/>
      <c r="X139" s="585"/>
      <c r="Y139" s="585"/>
      <c r="Z139" s="585"/>
      <c r="AA139" s="439"/>
      <c r="AB139" s="439"/>
      <c r="AC139" s="439"/>
      <c r="AD139" s="439"/>
      <c r="AE139" s="439"/>
    </row>
    <row r="140" spans="11:31" ht="12.75" customHeight="1" x14ac:dyDescent="0.2">
      <c r="K140" s="439"/>
      <c r="L140" s="586">
        <v>95</v>
      </c>
      <c r="M140" s="584">
        <v>90</v>
      </c>
      <c r="N140" s="584">
        <v>100</v>
      </c>
      <c r="O140" s="596">
        <f t="shared" si="6"/>
        <v>2</v>
      </c>
      <c r="P140" s="587">
        <f t="shared" si="7"/>
        <v>190</v>
      </c>
      <c r="Q140" s="586">
        <v>82.5</v>
      </c>
      <c r="R140" s="584">
        <v>25</v>
      </c>
      <c r="S140" s="584">
        <v>140</v>
      </c>
      <c r="T140" s="596">
        <f t="shared" si="8"/>
        <v>2</v>
      </c>
      <c r="U140" s="587">
        <f t="shared" si="9"/>
        <v>165</v>
      </c>
      <c r="V140" s="585"/>
      <c r="W140" s="585"/>
      <c r="X140" s="585"/>
      <c r="Y140" s="585"/>
      <c r="Z140" s="585"/>
      <c r="AA140" s="439"/>
      <c r="AB140" s="439"/>
      <c r="AC140" s="439"/>
      <c r="AD140" s="439"/>
      <c r="AE140" s="439"/>
    </row>
    <row r="141" spans="11:31" ht="12.75" customHeight="1" x14ac:dyDescent="0.2">
      <c r="K141" s="439"/>
      <c r="L141" s="586">
        <v>95.1</v>
      </c>
      <c r="M141" s="584">
        <v>100</v>
      </c>
      <c r="N141" s="584">
        <v>100</v>
      </c>
      <c r="O141" s="596">
        <f t="shared" si="6"/>
        <v>2.1030494216614093</v>
      </c>
      <c r="P141" s="587">
        <f t="shared" si="7"/>
        <v>200</v>
      </c>
      <c r="Q141" s="586">
        <v>82.6</v>
      </c>
      <c r="R141" s="584">
        <v>30</v>
      </c>
      <c r="S141" s="584">
        <v>140</v>
      </c>
      <c r="T141" s="596">
        <f t="shared" si="8"/>
        <v>2.0581113801452786</v>
      </c>
      <c r="U141" s="587">
        <f t="shared" si="9"/>
        <v>170</v>
      </c>
      <c r="V141" s="585"/>
      <c r="W141" s="585"/>
      <c r="X141" s="585"/>
      <c r="Y141" s="585"/>
      <c r="Z141" s="585"/>
      <c r="AA141" s="439"/>
      <c r="AB141" s="439"/>
      <c r="AC141" s="439"/>
      <c r="AD141" s="439"/>
      <c r="AE141" s="439"/>
    </row>
    <row r="142" spans="11:31" ht="12.75" customHeight="1" x14ac:dyDescent="0.2">
      <c r="K142" s="439"/>
      <c r="L142" s="586">
        <v>100</v>
      </c>
      <c r="M142" s="584">
        <v>100</v>
      </c>
      <c r="N142" s="584">
        <v>100</v>
      </c>
      <c r="O142" s="596">
        <f t="shared" si="6"/>
        <v>2</v>
      </c>
      <c r="P142" s="587">
        <f t="shared" si="7"/>
        <v>200</v>
      </c>
      <c r="Q142" s="586">
        <v>85</v>
      </c>
      <c r="R142" s="584">
        <v>30</v>
      </c>
      <c r="S142" s="584">
        <v>140</v>
      </c>
      <c r="T142" s="596">
        <f t="shared" si="8"/>
        <v>2</v>
      </c>
      <c r="U142" s="587">
        <f t="shared" si="9"/>
        <v>170</v>
      </c>
      <c r="V142" s="585"/>
      <c r="W142" s="585"/>
      <c r="X142" s="585"/>
      <c r="Y142" s="585"/>
      <c r="Z142" s="585"/>
      <c r="AA142" s="439"/>
      <c r="AB142" s="439"/>
      <c r="AC142" s="439"/>
      <c r="AD142" s="439"/>
      <c r="AE142" s="439"/>
    </row>
    <row r="143" spans="11:31" ht="12.75" customHeight="1" x14ac:dyDescent="0.2">
      <c r="K143" s="439"/>
      <c r="L143" s="586">
        <v>100.1</v>
      </c>
      <c r="M143" s="584">
        <v>90</v>
      </c>
      <c r="N143" s="584">
        <v>120</v>
      </c>
      <c r="O143" s="596">
        <f t="shared" si="6"/>
        <v>2.0979020979020979</v>
      </c>
      <c r="P143" s="587">
        <f t="shared" si="7"/>
        <v>210</v>
      </c>
      <c r="Q143" s="586">
        <v>85.1</v>
      </c>
      <c r="R143" s="584">
        <v>40</v>
      </c>
      <c r="S143" s="584">
        <v>140</v>
      </c>
      <c r="T143" s="596">
        <f t="shared" si="8"/>
        <v>2.1151586368977675</v>
      </c>
      <c r="U143" s="587">
        <f t="shared" si="9"/>
        <v>180</v>
      </c>
      <c r="V143" s="585"/>
      <c r="W143" s="585"/>
      <c r="X143" s="585"/>
      <c r="Y143" s="585"/>
      <c r="Z143" s="585"/>
      <c r="AA143" s="439"/>
      <c r="AB143" s="439"/>
      <c r="AC143" s="439"/>
      <c r="AD143" s="439"/>
      <c r="AE143" s="439"/>
    </row>
    <row r="144" spans="11:31" ht="12.75" customHeight="1" x14ac:dyDescent="0.2">
      <c r="K144" s="439"/>
      <c r="L144" s="586">
        <v>105</v>
      </c>
      <c r="M144" s="584">
        <v>90</v>
      </c>
      <c r="N144" s="584">
        <v>120</v>
      </c>
      <c r="O144" s="596">
        <f t="shared" si="6"/>
        <v>2</v>
      </c>
      <c r="P144" s="587">
        <f t="shared" si="7"/>
        <v>210</v>
      </c>
      <c r="Q144" s="586">
        <v>90</v>
      </c>
      <c r="R144" s="584">
        <v>40</v>
      </c>
      <c r="S144" s="584">
        <v>140</v>
      </c>
      <c r="T144" s="596">
        <f t="shared" si="8"/>
        <v>2</v>
      </c>
      <c r="U144" s="587">
        <f t="shared" si="9"/>
        <v>180</v>
      </c>
      <c r="V144" s="585"/>
      <c r="W144" s="585"/>
      <c r="X144" s="585"/>
      <c r="Y144" s="585"/>
      <c r="Z144" s="585"/>
      <c r="AA144" s="439"/>
      <c r="AB144" s="439"/>
      <c r="AC144" s="439"/>
      <c r="AD144" s="439"/>
      <c r="AE144" s="439"/>
    </row>
    <row r="145" spans="11:31" ht="12.75" customHeight="1" x14ac:dyDescent="0.2">
      <c r="K145" s="439"/>
      <c r="L145" s="586">
        <v>105.1</v>
      </c>
      <c r="M145" s="584">
        <v>80</v>
      </c>
      <c r="N145" s="584">
        <v>140</v>
      </c>
      <c r="O145" s="596">
        <f t="shared" si="6"/>
        <v>2.093244529019981</v>
      </c>
      <c r="P145" s="587">
        <f t="shared" si="7"/>
        <v>220</v>
      </c>
      <c r="Q145" s="586">
        <v>90.1</v>
      </c>
      <c r="R145" s="584">
        <v>50</v>
      </c>
      <c r="S145" s="584">
        <v>140</v>
      </c>
      <c r="T145" s="596">
        <f t="shared" si="8"/>
        <v>2.1087680355160932</v>
      </c>
      <c r="U145" s="587">
        <f t="shared" si="9"/>
        <v>190</v>
      </c>
      <c r="V145" s="585"/>
      <c r="W145" s="585"/>
      <c r="X145" s="585"/>
      <c r="Y145" s="585"/>
      <c r="Z145" s="585"/>
      <c r="AA145" s="439"/>
      <c r="AB145" s="439"/>
      <c r="AC145" s="439"/>
      <c r="AD145" s="439"/>
      <c r="AE145" s="439"/>
    </row>
    <row r="146" spans="11:31" ht="12.75" customHeight="1" x14ac:dyDescent="0.2">
      <c r="K146" s="439"/>
      <c r="L146" s="586">
        <v>110</v>
      </c>
      <c r="M146" s="584">
        <v>80</v>
      </c>
      <c r="N146" s="584">
        <v>140</v>
      </c>
      <c r="O146" s="596">
        <f t="shared" si="6"/>
        <v>2</v>
      </c>
      <c r="P146" s="587">
        <f t="shared" si="7"/>
        <v>220</v>
      </c>
      <c r="Q146" s="586">
        <v>95</v>
      </c>
      <c r="R146" s="584">
        <v>50</v>
      </c>
      <c r="S146" s="584">
        <v>140</v>
      </c>
      <c r="T146" s="596">
        <f t="shared" si="8"/>
        <v>2</v>
      </c>
      <c r="U146" s="587">
        <f t="shared" si="9"/>
        <v>190</v>
      </c>
      <c r="V146" s="585"/>
      <c r="W146" s="585"/>
      <c r="X146" s="585"/>
      <c r="Y146" s="585"/>
      <c r="Z146" s="585"/>
      <c r="AA146" s="439"/>
      <c r="AB146" s="439"/>
      <c r="AC146" s="439"/>
      <c r="AD146" s="439"/>
      <c r="AE146" s="439"/>
    </row>
    <row r="147" spans="11:31" ht="12.75" customHeight="1" x14ac:dyDescent="0.2">
      <c r="K147" s="439"/>
      <c r="L147" s="586">
        <v>110.1</v>
      </c>
      <c r="M147" s="584">
        <v>90</v>
      </c>
      <c r="N147" s="584">
        <v>140</v>
      </c>
      <c r="O147" s="596">
        <f t="shared" si="6"/>
        <v>2.0890099909173481</v>
      </c>
      <c r="P147" s="587">
        <f t="shared" si="7"/>
        <v>230</v>
      </c>
      <c r="Q147" s="586">
        <v>95.1</v>
      </c>
      <c r="R147" s="584">
        <v>100</v>
      </c>
      <c r="S147" s="584">
        <v>100</v>
      </c>
      <c r="T147" s="596">
        <f t="shared" si="8"/>
        <v>2.1030494216614093</v>
      </c>
      <c r="U147" s="587">
        <f t="shared" si="9"/>
        <v>200</v>
      </c>
      <c r="V147" s="585"/>
      <c r="W147" s="585"/>
      <c r="X147" s="585"/>
      <c r="Y147" s="585"/>
      <c r="Z147" s="585"/>
      <c r="AA147" s="439"/>
      <c r="AB147" s="439"/>
      <c r="AC147" s="439"/>
      <c r="AD147" s="439"/>
      <c r="AE147" s="439"/>
    </row>
    <row r="148" spans="11:31" ht="12.75" customHeight="1" x14ac:dyDescent="0.2">
      <c r="K148" s="439"/>
      <c r="L148" s="586">
        <v>115</v>
      </c>
      <c r="M148" s="584">
        <v>90</v>
      </c>
      <c r="N148" s="584">
        <v>140</v>
      </c>
      <c r="O148" s="596">
        <f t="shared" si="6"/>
        <v>2</v>
      </c>
      <c r="P148" s="587">
        <f t="shared" si="7"/>
        <v>230</v>
      </c>
      <c r="Q148" s="586">
        <v>100</v>
      </c>
      <c r="R148" s="584">
        <v>100</v>
      </c>
      <c r="S148" s="584">
        <v>100</v>
      </c>
      <c r="T148" s="596">
        <f t="shared" si="8"/>
        <v>2</v>
      </c>
      <c r="U148" s="587">
        <f t="shared" si="9"/>
        <v>200</v>
      </c>
      <c r="V148" s="585"/>
      <c r="W148" s="585"/>
      <c r="X148" s="585"/>
      <c r="Y148" s="585"/>
      <c r="Z148" s="585"/>
      <c r="AA148" s="439"/>
      <c r="AB148" s="439"/>
      <c r="AC148" s="439"/>
      <c r="AD148" s="439"/>
      <c r="AE148" s="439"/>
    </row>
    <row r="149" spans="11:31" ht="12.75" customHeight="1" x14ac:dyDescent="0.2">
      <c r="K149" s="439"/>
      <c r="L149" s="586">
        <v>115.1</v>
      </c>
      <c r="M149" s="584">
        <v>100</v>
      </c>
      <c r="N149" s="584">
        <v>140</v>
      </c>
      <c r="O149" s="596">
        <f t="shared" si="6"/>
        <v>2.0851433536055604</v>
      </c>
      <c r="P149" s="587">
        <f t="shared" si="7"/>
        <v>240</v>
      </c>
      <c r="Q149" s="586">
        <v>100.1</v>
      </c>
      <c r="R149" s="584">
        <v>70</v>
      </c>
      <c r="S149" s="584">
        <v>140</v>
      </c>
      <c r="T149" s="596">
        <f t="shared" si="8"/>
        <v>2.0979020979020979</v>
      </c>
      <c r="U149" s="587">
        <f t="shared" si="9"/>
        <v>210</v>
      </c>
      <c r="V149" s="585"/>
      <c r="W149" s="585"/>
      <c r="X149" s="585"/>
      <c r="Y149" s="585"/>
      <c r="Z149" s="585"/>
      <c r="AA149" s="439"/>
      <c r="AB149" s="439"/>
      <c r="AC149" s="439"/>
      <c r="AD149" s="439"/>
      <c r="AE149" s="439"/>
    </row>
    <row r="150" spans="11:31" ht="12.75" customHeight="1" x14ac:dyDescent="0.2">
      <c r="K150" s="439"/>
      <c r="L150" s="586">
        <v>120</v>
      </c>
      <c r="M150" s="584">
        <v>100</v>
      </c>
      <c r="N150" s="584">
        <v>140</v>
      </c>
      <c r="O150" s="596">
        <f t="shared" ref="O150:O160" si="10">(N150+M150)/L150</f>
        <v>2</v>
      </c>
      <c r="P150" s="587">
        <f t="shared" si="7"/>
        <v>240</v>
      </c>
      <c r="Q150" s="586">
        <v>105</v>
      </c>
      <c r="R150" s="584">
        <v>70</v>
      </c>
      <c r="S150" s="584">
        <v>140</v>
      </c>
      <c r="T150" s="596">
        <f t="shared" si="8"/>
        <v>2</v>
      </c>
      <c r="U150" s="587">
        <f t="shared" si="9"/>
        <v>210</v>
      </c>
      <c r="V150" s="585"/>
      <c r="W150" s="585"/>
      <c r="X150" s="585"/>
      <c r="Y150" s="585"/>
      <c r="Z150" s="585"/>
      <c r="AA150" s="439"/>
      <c r="AB150" s="439"/>
      <c r="AC150" s="439"/>
      <c r="AD150" s="439"/>
      <c r="AE150" s="439"/>
    </row>
    <row r="151" spans="11:31" ht="12.75" customHeight="1" x14ac:dyDescent="0.2">
      <c r="K151" s="439"/>
      <c r="L151" s="586">
        <v>120.1</v>
      </c>
      <c r="M151" s="584">
        <v>90</v>
      </c>
      <c r="N151" s="584">
        <v>160</v>
      </c>
      <c r="O151" s="596">
        <f t="shared" si="10"/>
        <v>2.0815986677768525</v>
      </c>
      <c r="P151" s="587">
        <f t="shared" si="7"/>
        <v>250</v>
      </c>
      <c r="Q151" s="586">
        <v>105.1</v>
      </c>
      <c r="R151" s="584">
        <v>80</v>
      </c>
      <c r="S151" s="584">
        <v>140</v>
      </c>
      <c r="T151" s="596">
        <f t="shared" si="8"/>
        <v>2.093244529019981</v>
      </c>
      <c r="U151" s="587">
        <f t="shared" si="9"/>
        <v>220</v>
      </c>
      <c r="V151" s="585"/>
      <c r="W151" s="585"/>
      <c r="X151" s="585"/>
      <c r="Y151" s="585"/>
      <c r="Z151" s="585"/>
      <c r="AA151" s="439"/>
      <c r="AB151" s="439"/>
      <c r="AC151" s="439"/>
      <c r="AD151" s="439"/>
      <c r="AE151" s="439"/>
    </row>
    <row r="152" spans="11:31" ht="12.75" customHeight="1" x14ac:dyDescent="0.2">
      <c r="K152" s="439"/>
      <c r="L152" s="586">
        <v>125</v>
      </c>
      <c r="M152" s="584">
        <v>90</v>
      </c>
      <c r="N152" s="584">
        <v>160</v>
      </c>
      <c r="O152" s="596">
        <f t="shared" si="10"/>
        <v>2</v>
      </c>
      <c r="P152" s="587">
        <f t="shared" si="7"/>
        <v>250</v>
      </c>
      <c r="Q152" s="586">
        <v>110</v>
      </c>
      <c r="R152" s="584">
        <v>80</v>
      </c>
      <c r="S152" s="584">
        <v>140</v>
      </c>
      <c r="T152" s="596">
        <f t="shared" ref="T152:T164" si="11">U152/Q152</f>
        <v>2</v>
      </c>
      <c r="U152" s="587">
        <f t="shared" ref="U152:U164" si="12">R152+S152</f>
        <v>220</v>
      </c>
      <c r="V152" s="585"/>
      <c r="W152" s="585"/>
      <c r="X152" s="585"/>
      <c r="Y152" s="585"/>
      <c r="Z152" s="585"/>
      <c r="AA152" s="439"/>
      <c r="AB152" s="439"/>
      <c r="AC152" s="439"/>
      <c r="AD152" s="439"/>
      <c r="AE152" s="439"/>
    </row>
    <row r="153" spans="11:31" ht="12.75" customHeight="1" x14ac:dyDescent="0.2">
      <c r="K153" s="439"/>
      <c r="L153" s="586">
        <v>125.1</v>
      </c>
      <c r="M153" s="584">
        <v>120</v>
      </c>
      <c r="N153" s="584">
        <v>140</v>
      </c>
      <c r="O153" s="596">
        <f t="shared" si="10"/>
        <v>2.0783373301358914</v>
      </c>
      <c r="P153" s="587">
        <f t="shared" si="7"/>
        <v>260</v>
      </c>
      <c r="Q153" s="586">
        <v>110.1</v>
      </c>
      <c r="R153" s="584">
        <v>113.4</v>
      </c>
      <c r="S153" s="584">
        <v>120</v>
      </c>
      <c r="T153" s="596">
        <f t="shared" si="11"/>
        <v>2.1198910081743869</v>
      </c>
      <c r="U153" s="587">
        <f t="shared" si="12"/>
        <v>233.4</v>
      </c>
      <c r="V153" s="585"/>
      <c r="W153" s="585"/>
      <c r="X153" s="585"/>
      <c r="Y153" s="585"/>
      <c r="Z153" s="585"/>
      <c r="AA153" s="439"/>
      <c r="AB153" s="439"/>
      <c r="AC153" s="439"/>
      <c r="AD153" s="439"/>
      <c r="AE153" s="439"/>
    </row>
    <row r="154" spans="11:31" ht="12.75" customHeight="1" x14ac:dyDescent="0.2">
      <c r="K154" s="439"/>
      <c r="L154" s="586">
        <v>130</v>
      </c>
      <c r="M154" s="584">
        <v>120</v>
      </c>
      <c r="N154" s="584">
        <v>140</v>
      </c>
      <c r="O154" s="596">
        <f t="shared" si="10"/>
        <v>2</v>
      </c>
      <c r="P154" s="587">
        <f t="shared" si="7"/>
        <v>260</v>
      </c>
      <c r="Q154" s="586">
        <v>115</v>
      </c>
      <c r="R154" s="584">
        <v>113.4</v>
      </c>
      <c r="S154" s="584">
        <v>120</v>
      </c>
      <c r="T154" s="596">
        <f t="shared" si="11"/>
        <v>2.0295652173913044</v>
      </c>
      <c r="U154" s="587">
        <f t="shared" si="12"/>
        <v>233.4</v>
      </c>
      <c r="V154" s="585"/>
      <c r="W154" s="585"/>
      <c r="X154" s="585"/>
      <c r="Y154" s="585"/>
      <c r="Z154" s="585"/>
      <c r="AA154" s="439"/>
      <c r="AB154" s="439"/>
      <c r="AC154" s="439"/>
      <c r="AD154" s="439"/>
      <c r="AE154" s="439"/>
    </row>
    <row r="155" spans="11:31" ht="12.75" customHeight="1" x14ac:dyDescent="0.2">
      <c r="K155" s="439"/>
      <c r="L155" s="586">
        <v>130.1</v>
      </c>
      <c r="M155" s="584">
        <v>140</v>
      </c>
      <c r="N155" s="584">
        <v>140</v>
      </c>
      <c r="O155" s="596">
        <f t="shared" si="10"/>
        <v>2.1521906225980016</v>
      </c>
      <c r="P155" s="587">
        <f t="shared" si="7"/>
        <v>280</v>
      </c>
      <c r="Q155" s="586">
        <v>115.1</v>
      </c>
      <c r="R155" s="584">
        <v>113.4</v>
      </c>
      <c r="S155" s="584">
        <v>120</v>
      </c>
      <c r="T155" s="596">
        <f t="shared" si="11"/>
        <v>2.0278019113814074</v>
      </c>
      <c r="U155" s="587">
        <f t="shared" si="12"/>
        <v>233.4</v>
      </c>
      <c r="V155" s="585"/>
      <c r="W155" s="585"/>
      <c r="X155" s="585"/>
      <c r="Y155" s="585"/>
      <c r="Z155" s="585"/>
      <c r="AA155" s="439"/>
      <c r="AB155" s="439"/>
      <c r="AC155" s="439"/>
      <c r="AD155" s="439"/>
      <c r="AE155" s="439"/>
    </row>
    <row r="156" spans="11:31" ht="12.75" customHeight="1" x14ac:dyDescent="0.2">
      <c r="K156" s="439"/>
      <c r="L156" s="586">
        <v>140</v>
      </c>
      <c r="M156" s="584">
        <v>140</v>
      </c>
      <c r="N156" s="584">
        <v>140</v>
      </c>
      <c r="O156" s="596">
        <f t="shared" si="10"/>
        <v>2</v>
      </c>
      <c r="P156" s="587">
        <f t="shared" si="7"/>
        <v>280</v>
      </c>
      <c r="Q156" s="586">
        <v>116.7</v>
      </c>
      <c r="R156" s="584">
        <v>113.4</v>
      </c>
      <c r="S156" s="584">
        <v>120</v>
      </c>
      <c r="T156" s="596">
        <f t="shared" si="11"/>
        <v>2</v>
      </c>
      <c r="U156" s="587">
        <f t="shared" si="12"/>
        <v>233.4</v>
      </c>
      <c r="V156" s="585"/>
      <c r="W156" s="585"/>
      <c r="X156" s="585"/>
      <c r="Y156" s="585"/>
      <c r="Z156" s="585"/>
      <c r="AA156" s="439"/>
      <c r="AB156" s="439"/>
      <c r="AC156" s="439"/>
      <c r="AD156" s="439"/>
      <c r="AE156" s="439"/>
    </row>
    <row r="157" spans="11:31" ht="12.75" customHeight="1" x14ac:dyDescent="0.2">
      <c r="K157" s="439"/>
      <c r="L157" s="586">
        <v>140.1</v>
      </c>
      <c r="M157" s="584">
        <v>140</v>
      </c>
      <c r="N157" s="584">
        <v>160</v>
      </c>
      <c r="O157" s="596">
        <f t="shared" si="10"/>
        <v>2.1413276231263385</v>
      </c>
      <c r="P157" s="587">
        <f t="shared" si="7"/>
        <v>300</v>
      </c>
      <c r="Q157" s="586">
        <v>116.8</v>
      </c>
      <c r="R157" s="584">
        <v>120</v>
      </c>
      <c r="S157" s="584">
        <v>120</v>
      </c>
      <c r="T157" s="596">
        <f t="shared" si="11"/>
        <v>2.0547945205479454</v>
      </c>
      <c r="U157" s="587">
        <f t="shared" si="12"/>
        <v>240</v>
      </c>
      <c r="V157" s="585"/>
      <c r="W157" s="585"/>
      <c r="X157" s="585"/>
      <c r="Y157" s="585"/>
      <c r="Z157" s="585"/>
      <c r="AA157" s="439"/>
      <c r="AB157" s="439"/>
      <c r="AC157" s="439"/>
      <c r="AD157" s="439"/>
      <c r="AE157" s="439"/>
    </row>
    <row r="158" spans="11:31" ht="12.75" customHeight="1" x14ac:dyDescent="0.2">
      <c r="K158" s="439"/>
      <c r="L158" s="586">
        <v>150</v>
      </c>
      <c r="M158" s="584">
        <v>140</v>
      </c>
      <c r="N158" s="584">
        <v>160</v>
      </c>
      <c r="O158" s="596">
        <f t="shared" si="10"/>
        <v>2</v>
      </c>
      <c r="P158" s="587">
        <f t="shared" si="7"/>
        <v>300</v>
      </c>
      <c r="Q158" s="586">
        <v>120</v>
      </c>
      <c r="R158" s="584">
        <v>120</v>
      </c>
      <c r="S158" s="584">
        <v>120</v>
      </c>
      <c r="T158" s="596">
        <f t="shared" si="11"/>
        <v>2</v>
      </c>
      <c r="U158" s="587">
        <f t="shared" si="12"/>
        <v>240</v>
      </c>
      <c r="V158" s="585"/>
      <c r="W158" s="585"/>
      <c r="X158" s="585"/>
      <c r="Y158" s="585"/>
      <c r="Z158" s="585"/>
      <c r="AA158" s="439"/>
      <c r="AB158" s="439"/>
      <c r="AC158" s="439"/>
      <c r="AD158" s="439"/>
      <c r="AE158" s="439"/>
    </row>
    <row r="159" spans="11:31" ht="12.75" customHeight="1" x14ac:dyDescent="0.2">
      <c r="K159" s="439"/>
      <c r="L159" s="586">
        <v>150.1</v>
      </c>
      <c r="M159" s="584">
        <v>160</v>
      </c>
      <c r="N159" s="584">
        <v>160</v>
      </c>
      <c r="O159" s="596">
        <f t="shared" si="10"/>
        <v>2.1319120586275817</v>
      </c>
      <c r="P159" s="587">
        <f>N159+M159</f>
        <v>320</v>
      </c>
      <c r="Q159" s="586">
        <v>120.1</v>
      </c>
      <c r="R159" s="584">
        <v>113.4</v>
      </c>
      <c r="S159" s="584">
        <v>140</v>
      </c>
      <c r="T159" s="596">
        <f t="shared" si="11"/>
        <v>2.109908409658618</v>
      </c>
      <c r="U159" s="587">
        <f t="shared" si="12"/>
        <v>253.4</v>
      </c>
      <c r="V159" s="585"/>
      <c r="W159" s="585"/>
      <c r="X159" s="585"/>
      <c r="Y159" s="585"/>
      <c r="Z159" s="585"/>
      <c r="AA159" s="439"/>
      <c r="AB159" s="439"/>
      <c r="AC159" s="439"/>
      <c r="AD159" s="439"/>
      <c r="AE159" s="439"/>
    </row>
    <row r="160" spans="11:31" ht="12.75" customHeight="1" x14ac:dyDescent="0.2">
      <c r="K160" s="439"/>
      <c r="L160" s="586">
        <v>160</v>
      </c>
      <c r="M160" s="584">
        <v>160</v>
      </c>
      <c r="N160" s="584">
        <v>160</v>
      </c>
      <c r="O160" s="596">
        <f t="shared" si="10"/>
        <v>2</v>
      </c>
      <c r="P160" s="587">
        <f>N160+M160</f>
        <v>320</v>
      </c>
      <c r="Q160" s="586">
        <v>126.7</v>
      </c>
      <c r="R160" s="584">
        <v>113.4</v>
      </c>
      <c r="S160" s="584">
        <v>140</v>
      </c>
      <c r="T160" s="596">
        <f t="shared" si="11"/>
        <v>2</v>
      </c>
      <c r="U160" s="587">
        <f t="shared" si="12"/>
        <v>253.4</v>
      </c>
      <c r="V160" s="585"/>
      <c r="W160" s="585"/>
      <c r="X160" s="585"/>
      <c r="Y160" s="585"/>
      <c r="Z160" s="585"/>
      <c r="AA160" s="439"/>
      <c r="AB160" s="439"/>
      <c r="AC160" s="439"/>
      <c r="AD160" s="439"/>
      <c r="AE160" s="439"/>
    </row>
    <row r="161" spans="11:31" x14ac:dyDescent="0.2">
      <c r="K161" s="439"/>
      <c r="L161" s="587"/>
      <c r="M161" s="587"/>
      <c r="N161" s="587"/>
      <c r="O161" s="596"/>
      <c r="P161" s="587"/>
      <c r="Q161" s="586">
        <v>126.8</v>
      </c>
      <c r="R161" s="584">
        <v>120</v>
      </c>
      <c r="S161" s="584">
        <v>140</v>
      </c>
      <c r="T161" s="596">
        <f t="shared" si="11"/>
        <v>2.0504731861198739</v>
      </c>
      <c r="U161" s="587">
        <f t="shared" si="12"/>
        <v>260</v>
      </c>
      <c r="V161" s="585"/>
      <c r="W161" s="585"/>
      <c r="X161" s="585"/>
      <c r="Y161" s="585"/>
      <c r="Z161" s="585"/>
      <c r="AA161" s="439"/>
      <c r="AB161" s="439"/>
      <c r="AC161" s="439"/>
      <c r="AD161" s="439"/>
      <c r="AE161" s="439"/>
    </row>
    <row r="162" spans="11:31" x14ac:dyDescent="0.2">
      <c r="K162" s="439"/>
      <c r="L162" s="587"/>
      <c r="M162" s="587"/>
      <c r="N162" s="587"/>
      <c r="O162" s="596"/>
      <c r="P162" s="587"/>
      <c r="Q162" s="586">
        <v>130</v>
      </c>
      <c r="R162" s="584">
        <v>120</v>
      </c>
      <c r="S162" s="584">
        <v>140</v>
      </c>
      <c r="T162" s="596">
        <f t="shared" si="11"/>
        <v>2</v>
      </c>
      <c r="U162" s="587">
        <f t="shared" si="12"/>
        <v>260</v>
      </c>
      <c r="V162" s="585"/>
      <c r="W162" s="585"/>
      <c r="X162" s="585"/>
      <c r="Y162" s="585"/>
      <c r="Z162" s="585"/>
      <c r="AA162" s="439"/>
      <c r="AB162" s="439"/>
      <c r="AC162" s="439"/>
      <c r="AD162" s="439"/>
      <c r="AE162" s="439"/>
    </row>
    <row r="163" spans="11:31" x14ac:dyDescent="0.2">
      <c r="K163" s="439"/>
      <c r="L163" s="587"/>
      <c r="M163" s="587"/>
      <c r="N163" s="587"/>
      <c r="O163" s="596"/>
      <c r="P163" s="587"/>
      <c r="Q163" s="586">
        <v>130.1</v>
      </c>
      <c r="R163" s="584">
        <v>140</v>
      </c>
      <c r="S163" s="584">
        <v>140</v>
      </c>
      <c r="T163" s="596">
        <f t="shared" si="11"/>
        <v>2.1521906225980016</v>
      </c>
      <c r="U163" s="587">
        <f t="shared" si="12"/>
        <v>280</v>
      </c>
      <c r="V163" s="585"/>
      <c r="W163" s="585"/>
      <c r="X163" s="585"/>
      <c r="Y163" s="585"/>
      <c r="Z163" s="585"/>
      <c r="AA163" s="439"/>
      <c r="AB163" s="439"/>
      <c r="AC163" s="439"/>
      <c r="AD163" s="439"/>
      <c r="AE163" s="439"/>
    </row>
    <row r="164" spans="11:31" x14ac:dyDescent="0.2">
      <c r="K164" s="439"/>
      <c r="L164" s="587"/>
      <c r="M164" s="587"/>
      <c r="N164" s="587"/>
      <c r="O164" s="596"/>
      <c r="P164" s="587"/>
      <c r="Q164" s="586">
        <v>140</v>
      </c>
      <c r="R164" s="584">
        <v>140</v>
      </c>
      <c r="S164" s="584">
        <v>140</v>
      </c>
      <c r="T164" s="596">
        <f t="shared" si="11"/>
        <v>2</v>
      </c>
      <c r="U164" s="587">
        <f t="shared" si="12"/>
        <v>280</v>
      </c>
      <c r="V164" s="585"/>
      <c r="W164" s="585"/>
      <c r="X164" s="585"/>
      <c r="Y164" s="585"/>
      <c r="Z164" s="585"/>
      <c r="AA164" s="439"/>
      <c r="AB164" s="439"/>
      <c r="AC164" s="439"/>
      <c r="AD164" s="439"/>
      <c r="AE164" s="439"/>
    </row>
    <row r="165" spans="11:31" x14ac:dyDescent="0.2">
      <c r="K165" s="439"/>
      <c r="L165" s="587"/>
      <c r="M165" s="587"/>
      <c r="N165" s="587"/>
      <c r="O165" s="596"/>
      <c r="P165" s="587"/>
      <c r="Q165" s="587"/>
      <c r="R165" s="587"/>
      <c r="S165" s="587"/>
      <c r="T165" s="587"/>
      <c r="U165" s="587"/>
      <c r="V165" s="585"/>
      <c r="W165" s="585"/>
      <c r="X165" s="585"/>
      <c r="Y165" s="585"/>
      <c r="Z165" s="585"/>
      <c r="AA165" s="439"/>
      <c r="AB165" s="439"/>
      <c r="AC165" s="439"/>
      <c r="AD165" s="439"/>
      <c r="AE165" s="439"/>
    </row>
    <row r="166" spans="11:31" x14ac:dyDescent="0.2">
      <c r="K166" s="439"/>
      <c r="L166" s="587"/>
      <c r="M166" s="587"/>
      <c r="N166" s="587"/>
      <c r="O166" s="596"/>
      <c r="P166" s="587"/>
      <c r="Q166" s="587"/>
      <c r="R166" s="587"/>
      <c r="S166" s="587"/>
      <c r="T166" s="587"/>
      <c r="U166" s="587"/>
      <c r="V166" s="585"/>
      <c r="W166" s="585"/>
      <c r="X166" s="585"/>
      <c r="Y166" s="585"/>
      <c r="Z166" s="585"/>
      <c r="AA166" s="439"/>
      <c r="AB166" s="439"/>
      <c r="AC166" s="439"/>
      <c r="AD166" s="439"/>
      <c r="AE166" s="439"/>
    </row>
    <row r="167" spans="11:31" x14ac:dyDescent="0.2">
      <c r="K167" s="439"/>
      <c r="L167" s="86"/>
      <c r="M167" s="86"/>
      <c r="N167" s="86"/>
      <c r="O167" s="656"/>
      <c r="P167" s="86"/>
      <c r="Q167" s="86"/>
      <c r="R167" s="86"/>
      <c r="S167" s="86"/>
      <c r="T167" s="86"/>
      <c r="U167" s="86"/>
      <c r="V167" s="439"/>
      <c r="W167" s="439"/>
      <c r="X167" s="439"/>
      <c r="Y167" s="439"/>
      <c r="Z167" s="439"/>
      <c r="AA167" s="439"/>
      <c r="AB167" s="439"/>
      <c r="AC167" s="439"/>
      <c r="AD167" s="439"/>
      <c r="AE167" s="439"/>
    </row>
    <row r="168" spans="11:31" x14ac:dyDescent="0.2">
      <c r="K168" s="439"/>
      <c r="L168" s="86"/>
      <c r="M168" s="86"/>
      <c r="N168" s="86"/>
      <c r="O168" s="656"/>
      <c r="P168" s="86"/>
      <c r="Q168" s="86"/>
      <c r="R168" s="86"/>
      <c r="S168" s="86"/>
      <c r="T168" s="86"/>
      <c r="U168" s="86"/>
      <c r="V168" s="439"/>
      <c r="W168" s="439"/>
      <c r="X168" s="439"/>
      <c r="Y168" s="439"/>
      <c r="Z168" s="439"/>
      <c r="AA168" s="439"/>
      <c r="AB168" s="439"/>
      <c r="AC168" s="439"/>
      <c r="AD168" s="439"/>
      <c r="AE168" s="439"/>
    </row>
    <row r="169" spans="11:31" x14ac:dyDescent="0.2">
      <c r="K169" s="439"/>
      <c r="L169" s="86"/>
      <c r="M169" s="86"/>
      <c r="N169" s="86"/>
      <c r="O169" s="656"/>
      <c r="P169" s="86"/>
      <c r="Q169" s="86"/>
      <c r="R169" s="86"/>
      <c r="S169" s="86"/>
      <c r="T169" s="86"/>
      <c r="U169" s="86"/>
      <c r="V169" s="439"/>
      <c r="W169" s="439"/>
      <c r="X169" s="439"/>
      <c r="Y169" s="439"/>
      <c r="Z169" s="439"/>
      <c r="AA169" s="439"/>
      <c r="AB169" s="439"/>
      <c r="AC169" s="439"/>
      <c r="AD169" s="439"/>
      <c r="AE169" s="439"/>
    </row>
    <row r="170" spans="11:31" x14ac:dyDescent="0.2">
      <c r="K170" s="439"/>
      <c r="L170" s="86"/>
      <c r="M170" s="86"/>
      <c r="N170" s="86"/>
      <c r="O170" s="656"/>
      <c r="P170" s="86"/>
      <c r="Q170" s="86"/>
      <c r="R170" s="86"/>
      <c r="S170" s="86"/>
      <c r="T170" s="86"/>
      <c r="U170" s="86"/>
      <c r="V170" s="439"/>
      <c r="W170" s="439"/>
      <c r="X170" s="439"/>
      <c r="Y170" s="439"/>
      <c r="Z170" s="439"/>
      <c r="AA170" s="439"/>
      <c r="AB170" s="439"/>
      <c r="AC170" s="439"/>
      <c r="AD170" s="439"/>
      <c r="AE170" s="439"/>
    </row>
    <row r="171" spans="11:31" x14ac:dyDescent="0.2">
      <c r="K171" s="439"/>
      <c r="L171" s="86"/>
      <c r="M171" s="86"/>
      <c r="N171" s="86"/>
      <c r="O171" s="656"/>
      <c r="P171" s="86"/>
      <c r="Q171" s="86"/>
      <c r="R171" s="86"/>
      <c r="S171" s="86"/>
      <c r="T171" s="86"/>
      <c r="U171" s="86"/>
      <c r="V171" s="439"/>
      <c r="W171" s="439"/>
      <c r="X171" s="439"/>
      <c r="Y171" s="439"/>
      <c r="Z171" s="439"/>
      <c r="AA171" s="439"/>
      <c r="AB171" s="439"/>
      <c r="AC171" s="439"/>
      <c r="AD171" s="439"/>
      <c r="AE171" s="439"/>
    </row>
    <row r="172" spans="11:31" x14ac:dyDescent="0.2">
      <c r="K172" s="439"/>
      <c r="L172" s="86"/>
      <c r="M172" s="86"/>
      <c r="N172" s="86"/>
      <c r="O172" s="656"/>
      <c r="P172" s="86"/>
      <c r="Q172" s="86"/>
      <c r="R172" s="86"/>
      <c r="S172" s="86"/>
      <c r="T172" s="86"/>
      <c r="U172" s="86"/>
      <c r="V172" s="439"/>
      <c r="W172" s="439"/>
      <c r="X172" s="439"/>
      <c r="Y172" s="439"/>
      <c r="Z172" s="439"/>
      <c r="AA172" s="439"/>
      <c r="AB172" s="439"/>
      <c r="AC172" s="439"/>
      <c r="AD172" s="439"/>
      <c r="AE172" s="439"/>
    </row>
    <row r="173" spans="11:31" x14ac:dyDescent="0.2">
      <c r="K173" s="439"/>
      <c r="L173" s="86"/>
      <c r="M173" s="86"/>
      <c r="N173" s="86"/>
      <c r="O173" s="656"/>
      <c r="P173" s="86"/>
      <c r="Q173" s="86"/>
      <c r="R173" s="86"/>
      <c r="S173" s="86"/>
      <c r="T173" s="86"/>
      <c r="U173" s="86"/>
      <c r="V173" s="439"/>
      <c r="W173" s="439"/>
      <c r="X173" s="439"/>
      <c r="Y173" s="439"/>
      <c r="Z173" s="439"/>
      <c r="AA173" s="439"/>
      <c r="AB173" s="439"/>
      <c r="AC173" s="439"/>
      <c r="AD173" s="439"/>
      <c r="AE173" s="439"/>
    </row>
    <row r="174" spans="11:31" x14ac:dyDescent="0.2">
      <c r="K174" s="439"/>
      <c r="L174" s="86"/>
      <c r="M174" s="86"/>
      <c r="N174" s="86"/>
      <c r="O174" s="656"/>
      <c r="P174" s="86"/>
      <c r="Q174" s="86"/>
      <c r="R174" s="86"/>
      <c r="S174" s="86"/>
      <c r="T174" s="86"/>
      <c r="U174" s="86"/>
      <c r="V174" s="439"/>
      <c r="W174" s="439"/>
      <c r="X174" s="439"/>
      <c r="Y174" s="439"/>
      <c r="Z174" s="439"/>
      <c r="AA174" s="439"/>
      <c r="AB174" s="439"/>
      <c r="AC174" s="439"/>
      <c r="AD174" s="439"/>
      <c r="AE174" s="439"/>
    </row>
    <row r="175" spans="11:31" x14ac:dyDescent="0.2">
      <c r="K175" s="439"/>
      <c r="L175" s="86"/>
      <c r="M175" s="86"/>
      <c r="N175" s="86"/>
      <c r="O175" s="656"/>
      <c r="P175" s="86"/>
      <c r="Q175" s="86"/>
      <c r="R175" s="86"/>
      <c r="S175" s="86"/>
      <c r="T175" s="86"/>
      <c r="U175" s="86"/>
      <c r="V175" s="439"/>
      <c r="W175" s="439"/>
      <c r="X175" s="439"/>
      <c r="Y175" s="439"/>
      <c r="Z175" s="439"/>
      <c r="AA175" s="439"/>
      <c r="AB175" s="439"/>
      <c r="AC175" s="439"/>
      <c r="AD175" s="439"/>
      <c r="AE175" s="439"/>
    </row>
    <row r="176" spans="11:31" x14ac:dyDescent="0.2">
      <c r="K176" s="439"/>
      <c r="L176" s="86"/>
      <c r="M176" s="86"/>
      <c r="N176" s="86"/>
      <c r="O176" s="656"/>
      <c r="P176" s="86"/>
      <c r="Q176" s="86"/>
      <c r="R176" s="86"/>
      <c r="S176" s="86"/>
      <c r="T176" s="86"/>
      <c r="U176" s="86"/>
      <c r="V176" s="439"/>
      <c r="W176" s="439"/>
      <c r="X176" s="439"/>
      <c r="Y176" s="439"/>
      <c r="Z176" s="439"/>
      <c r="AA176" s="439"/>
      <c r="AB176" s="439"/>
      <c r="AC176" s="439"/>
      <c r="AD176" s="439"/>
      <c r="AE176" s="439"/>
    </row>
    <row r="177" spans="11:31" x14ac:dyDescent="0.2">
      <c r="K177" s="439"/>
      <c r="L177" s="86"/>
      <c r="M177" s="86"/>
      <c r="N177" s="86"/>
      <c r="O177" s="656"/>
      <c r="P177" s="86"/>
      <c r="Q177" s="86"/>
      <c r="R177" s="86"/>
      <c r="S177" s="86"/>
      <c r="T177" s="86"/>
      <c r="U177" s="86"/>
      <c r="V177" s="439"/>
      <c r="W177" s="439"/>
      <c r="X177" s="439"/>
      <c r="Y177" s="439"/>
      <c r="Z177" s="439"/>
      <c r="AA177" s="439"/>
      <c r="AB177" s="439"/>
      <c r="AC177" s="439"/>
      <c r="AD177" s="439"/>
      <c r="AE177" s="439"/>
    </row>
    <row r="178" spans="11:31" x14ac:dyDescent="0.2">
      <c r="K178" s="439"/>
      <c r="L178" s="86"/>
      <c r="M178" s="86"/>
      <c r="N178" s="86"/>
      <c r="O178" s="656"/>
      <c r="P178" s="86"/>
      <c r="Q178" s="86"/>
      <c r="R178" s="86"/>
      <c r="S178" s="86"/>
      <c r="T178" s="86"/>
      <c r="U178" s="86"/>
      <c r="V178" s="439"/>
      <c r="W178" s="439"/>
      <c r="X178" s="439"/>
      <c r="Y178" s="439"/>
      <c r="Z178" s="439"/>
      <c r="AA178" s="439"/>
      <c r="AB178" s="439"/>
      <c r="AC178" s="439"/>
      <c r="AD178" s="439"/>
      <c r="AE178" s="439"/>
    </row>
    <row r="179" spans="11:31" x14ac:dyDescent="0.2">
      <c r="K179" s="439"/>
      <c r="L179" s="86"/>
      <c r="M179" s="86"/>
      <c r="N179" s="86"/>
      <c r="O179" s="656"/>
      <c r="P179" s="86"/>
      <c r="Q179" s="86"/>
      <c r="R179" s="86"/>
      <c r="S179" s="86"/>
      <c r="T179" s="86"/>
      <c r="U179" s="86"/>
      <c r="V179" s="439"/>
      <c r="W179" s="439"/>
      <c r="X179" s="439"/>
      <c r="Y179" s="439"/>
      <c r="Z179" s="439"/>
      <c r="AA179" s="439"/>
      <c r="AB179" s="439"/>
      <c r="AC179" s="439"/>
      <c r="AD179" s="439"/>
      <c r="AE179" s="439"/>
    </row>
    <row r="180" spans="11:31" x14ac:dyDescent="0.2">
      <c r="K180" s="439"/>
      <c r="L180" s="86"/>
      <c r="M180" s="86"/>
      <c r="N180" s="86"/>
      <c r="O180" s="656"/>
      <c r="P180" s="86"/>
      <c r="Q180" s="86"/>
      <c r="R180" s="86"/>
      <c r="S180" s="86"/>
      <c r="T180" s="86"/>
      <c r="U180" s="86"/>
      <c r="V180" s="439"/>
      <c r="W180" s="439"/>
      <c r="X180" s="439"/>
      <c r="Y180" s="439"/>
      <c r="Z180" s="439"/>
      <c r="AA180" s="439"/>
      <c r="AB180" s="439"/>
      <c r="AC180" s="439"/>
      <c r="AD180" s="439"/>
      <c r="AE180" s="439"/>
    </row>
    <row r="181" spans="11:31" x14ac:dyDescent="0.2">
      <c r="K181" s="439"/>
      <c r="L181" s="86"/>
      <c r="M181" s="86"/>
      <c r="N181" s="86"/>
      <c r="O181" s="656"/>
      <c r="P181" s="86"/>
      <c r="Q181" s="86"/>
      <c r="R181" s="86"/>
      <c r="S181" s="86"/>
      <c r="T181" s="86"/>
      <c r="U181" s="86"/>
      <c r="V181" s="439"/>
      <c r="W181" s="439"/>
      <c r="X181" s="439"/>
      <c r="Y181" s="439"/>
      <c r="Z181" s="439"/>
      <c r="AA181" s="439"/>
      <c r="AB181" s="439"/>
      <c r="AC181" s="439"/>
      <c r="AD181" s="439"/>
      <c r="AE181" s="439"/>
    </row>
    <row r="182" spans="11:31" x14ac:dyDescent="0.2">
      <c r="K182" s="439"/>
      <c r="L182" s="86"/>
      <c r="M182" s="86"/>
      <c r="N182" s="86"/>
      <c r="O182" s="656"/>
      <c r="P182" s="86"/>
      <c r="Q182" s="86"/>
      <c r="R182" s="86"/>
      <c r="S182" s="86"/>
      <c r="T182" s="86"/>
      <c r="U182" s="86"/>
      <c r="V182" s="439"/>
      <c r="W182" s="439"/>
      <c r="X182" s="439"/>
      <c r="Y182" s="439"/>
      <c r="Z182" s="439"/>
      <c r="AA182" s="439"/>
      <c r="AB182" s="439"/>
      <c r="AC182" s="439"/>
      <c r="AD182" s="439"/>
      <c r="AE182" s="439"/>
    </row>
    <row r="183" spans="11:31" x14ac:dyDescent="0.2">
      <c r="K183" s="439"/>
      <c r="L183" s="86"/>
      <c r="M183" s="86"/>
      <c r="N183" s="86"/>
      <c r="O183" s="656"/>
      <c r="P183" s="86"/>
      <c r="Q183" s="86"/>
      <c r="R183" s="86"/>
      <c r="S183" s="86"/>
      <c r="T183" s="86"/>
      <c r="U183" s="86"/>
      <c r="V183" s="439"/>
      <c r="W183" s="439"/>
      <c r="X183" s="439"/>
      <c r="Y183" s="439"/>
      <c r="Z183" s="439"/>
      <c r="AA183" s="439"/>
      <c r="AB183" s="439"/>
      <c r="AC183" s="439"/>
      <c r="AD183" s="439"/>
      <c r="AE183" s="439"/>
    </row>
    <row r="184" spans="11:31" x14ac:dyDescent="0.2">
      <c r="K184" s="439"/>
      <c r="L184" s="86"/>
      <c r="M184" s="86"/>
      <c r="N184" s="86"/>
      <c r="O184" s="656"/>
      <c r="P184" s="86"/>
      <c r="Q184" s="86"/>
      <c r="R184" s="86"/>
      <c r="S184" s="86"/>
      <c r="T184" s="86"/>
      <c r="U184" s="86"/>
      <c r="V184" s="439"/>
      <c r="W184" s="439"/>
      <c r="X184" s="439"/>
      <c r="Y184" s="439"/>
      <c r="Z184" s="439"/>
      <c r="AA184" s="439"/>
      <c r="AB184" s="439"/>
      <c r="AC184" s="439"/>
      <c r="AD184" s="439"/>
      <c r="AE184" s="439"/>
    </row>
    <row r="185" spans="11:31" x14ac:dyDescent="0.2">
      <c r="K185" s="439"/>
      <c r="L185" s="86"/>
      <c r="M185" s="86"/>
      <c r="N185" s="86"/>
      <c r="O185" s="656"/>
      <c r="P185" s="86"/>
      <c r="Q185" s="86"/>
      <c r="R185" s="86"/>
      <c r="S185" s="86"/>
      <c r="T185" s="86"/>
      <c r="U185" s="86"/>
      <c r="V185" s="439"/>
      <c r="W185" s="439"/>
      <c r="X185" s="439"/>
      <c r="Y185" s="439"/>
      <c r="Z185" s="439"/>
      <c r="AA185" s="439"/>
      <c r="AB185" s="439"/>
      <c r="AC185" s="439"/>
      <c r="AD185" s="439"/>
      <c r="AE185" s="439"/>
    </row>
    <row r="186" spans="11:31" x14ac:dyDescent="0.2">
      <c r="K186" s="439"/>
      <c r="L186" s="86"/>
      <c r="M186" s="86"/>
      <c r="N186" s="86"/>
      <c r="O186" s="656"/>
      <c r="P186" s="86"/>
      <c r="Q186" s="86"/>
      <c r="R186" s="86"/>
      <c r="S186" s="86"/>
      <c r="T186" s="86"/>
      <c r="U186" s="86"/>
      <c r="V186" s="439"/>
      <c r="W186" s="439"/>
      <c r="X186" s="439"/>
      <c r="Y186" s="439"/>
      <c r="Z186" s="439"/>
      <c r="AA186" s="439"/>
      <c r="AB186" s="439"/>
      <c r="AC186" s="439"/>
      <c r="AD186" s="439"/>
      <c r="AE186" s="439"/>
    </row>
    <row r="187" spans="11:31" x14ac:dyDescent="0.2">
      <c r="K187" s="439"/>
      <c r="L187" s="86"/>
      <c r="M187" s="86"/>
      <c r="N187" s="86"/>
      <c r="O187" s="656"/>
      <c r="P187" s="86"/>
      <c r="Q187" s="86"/>
      <c r="R187" s="86"/>
      <c r="S187" s="86"/>
      <c r="T187" s="86"/>
      <c r="U187" s="86"/>
      <c r="V187" s="439"/>
      <c r="W187" s="439"/>
      <c r="X187" s="439"/>
      <c r="Y187" s="439"/>
      <c r="Z187" s="439"/>
      <c r="AA187" s="439"/>
      <c r="AB187" s="439"/>
      <c r="AC187" s="439"/>
      <c r="AD187" s="439"/>
      <c r="AE187" s="439"/>
    </row>
    <row r="188" spans="11:31" x14ac:dyDescent="0.2">
      <c r="K188" s="439"/>
      <c r="L188" s="86"/>
      <c r="M188" s="86"/>
      <c r="N188" s="86"/>
      <c r="O188" s="656"/>
      <c r="P188" s="86"/>
      <c r="Q188" s="86"/>
      <c r="R188" s="86"/>
      <c r="S188" s="86"/>
      <c r="T188" s="86"/>
      <c r="U188" s="86"/>
      <c r="V188" s="439"/>
      <c r="W188" s="439"/>
      <c r="X188" s="439"/>
      <c r="Y188" s="439"/>
      <c r="Z188" s="439"/>
      <c r="AA188" s="439"/>
      <c r="AB188" s="439"/>
      <c r="AC188" s="439"/>
      <c r="AD188" s="439"/>
      <c r="AE188" s="439"/>
    </row>
    <row r="189" spans="11:31" x14ac:dyDescent="0.2">
      <c r="K189" s="439"/>
      <c r="L189" s="86"/>
      <c r="M189" s="86"/>
      <c r="N189" s="86"/>
      <c r="O189" s="656"/>
      <c r="P189" s="86"/>
      <c r="Q189" s="86"/>
      <c r="R189" s="86"/>
      <c r="S189" s="86"/>
      <c r="T189" s="86"/>
      <c r="U189" s="86"/>
      <c r="V189" s="439"/>
      <c r="W189" s="439"/>
      <c r="X189" s="439"/>
      <c r="Y189" s="439"/>
      <c r="Z189" s="439"/>
      <c r="AA189" s="439"/>
      <c r="AB189" s="439"/>
      <c r="AC189" s="439"/>
      <c r="AD189" s="439"/>
      <c r="AE189" s="439"/>
    </row>
    <row r="190" spans="11:31" x14ac:dyDescent="0.2">
      <c r="K190" s="439"/>
      <c r="L190" s="86"/>
      <c r="M190" s="86"/>
      <c r="N190" s="86"/>
      <c r="O190" s="656"/>
      <c r="P190" s="86"/>
      <c r="Q190" s="86"/>
      <c r="R190" s="86"/>
      <c r="S190" s="86"/>
      <c r="T190" s="86"/>
      <c r="U190" s="86"/>
      <c r="V190" s="439"/>
      <c r="W190" s="439"/>
      <c r="X190" s="439"/>
      <c r="Y190" s="439"/>
      <c r="Z190" s="439"/>
      <c r="AA190" s="439"/>
      <c r="AB190" s="439"/>
      <c r="AC190" s="439"/>
      <c r="AD190" s="439"/>
      <c r="AE190" s="439"/>
    </row>
    <row r="191" spans="11:31" x14ac:dyDescent="0.2">
      <c r="K191" s="439"/>
      <c r="L191" s="86"/>
      <c r="M191" s="86"/>
      <c r="N191" s="86"/>
      <c r="O191" s="656"/>
      <c r="P191" s="86"/>
      <c r="Q191" s="86"/>
      <c r="R191" s="86"/>
      <c r="S191" s="86"/>
      <c r="T191" s="86"/>
      <c r="U191" s="86"/>
      <c r="V191" s="439"/>
      <c r="W191" s="439"/>
      <c r="X191" s="439"/>
      <c r="Y191" s="439"/>
      <c r="Z191" s="439"/>
      <c r="AA191" s="439"/>
      <c r="AB191" s="439"/>
      <c r="AC191" s="439"/>
      <c r="AD191" s="439"/>
      <c r="AE191" s="439"/>
    </row>
    <row r="192" spans="11:31" x14ac:dyDescent="0.2">
      <c r="K192" s="439"/>
      <c r="L192" s="86"/>
      <c r="M192" s="86"/>
      <c r="N192" s="86"/>
      <c r="O192" s="656"/>
      <c r="P192" s="86"/>
      <c r="Q192" s="86"/>
      <c r="R192" s="86"/>
      <c r="S192" s="86"/>
      <c r="T192" s="86"/>
      <c r="U192" s="86"/>
      <c r="V192" s="439"/>
      <c r="W192" s="439"/>
      <c r="X192" s="439"/>
      <c r="Y192" s="439"/>
      <c r="Z192" s="439"/>
      <c r="AA192" s="439"/>
      <c r="AB192" s="439"/>
      <c r="AC192" s="439"/>
      <c r="AD192" s="439"/>
      <c r="AE192" s="439"/>
    </row>
    <row r="193" spans="11:31" x14ac:dyDescent="0.2">
      <c r="K193" s="439"/>
      <c r="L193" s="86"/>
      <c r="M193" s="86"/>
      <c r="N193" s="86"/>
      <c r="O193" s="656"/>
      <c r="P193" s="86"/>
      <c r="Q193" s="86"/>
      <c r="R193" s="86"/>
      <c r="S193" s="86"/>
      <c r="T193" s="86"/>
      <c r="U193" s="86"/>
      <c r="V193" s="439"/>
      <c r="W193" s="439"/>
      <c r="X193" s="439"/>
      <c r="Y193" s="439"/>
      <c r="Z193" s="439"/>
      <c r="AA193" s="439"/>
      <c r="AB193" s="439"/>
      <c r="AC193" s="439"/>
      <c r="AD193" s="439"/>
      <c r="AE193" s="439"/>
    </row>
    <row r="194" spans="11:31" x14ac:dyDescent="0.2">
      <c r="K194" s="439"/>
      <c r="L194" s="86"/>
      <c r="M194" s="86"/>
      <c r="N194" s="86"/>
      <c r="O194" s="656"/>
      <c r="P194" s="86"/>
      <c r="Q194" s="86"/>
      <c r="R194" s="86"/>
      <c r="S194" s="86"/>
      <c r="T194" s="86"/>
      <c r="U194" s="86"/>
      <c r="V194" s="439"/>
      <c r="W194" s="439"/>
      <c r="X194" s="439"/>
      <c r="Y194" s="439"/>
      <c r="Z194" s="439"/>
      <c r="AA194" s="439"/>
      <c r="AB194" s="439"/>
      <c r="AC194" s="439"/>
      <c r="AD194" s="439"/>
      <c r="AE194" s="439"/>
    </row>
    <row r="195" spans="11:31" x14ac:dyDescent="0.2">
      <c r="K195" s="439"/>
      <c r="L195" s="86"/>
      <c r="M195" s="86"/>
      <c r="N195" s="86"/>
      <c r="O195" s="656"/>
      <c r="P195" s="86"/>
      <c r="Q195" s="86"/>
      <c r="R195" s="86"/>
      <c r="S195" s="86"/>
      <c r="T195" s="86"/>
      <c r="U195" s="86"/>
      <c r="V195" s="439"/>
      <c r="W195" s="439"/>
      <c r="X195" s="439"/>
      <c r="Y195" s="439"/>
      <c r="Z195" s="439"/>
      <c r="AA195" s="439"/>
      <c r="AB195" s="439"/>
      <c r="AC195" s="439"/>
      <c r="AD195" s="439"/>
      <c r="AE195" s="439"/>
    </row>
    <row r="196" spans="11:31" x14ac:dyDescent="0.2">
      <c r="K196" s="439"/>
      <c r="L196" s="86"/>
      <c r="M196" s="86"/>
      <c r="N196" s="86"/>
      <c r="O196" s="656"/>
      <c r="P196" s="86"/>
      <c r="Q196" s="86"/>
      <c r="R196" s="86"/>
      <c r="S196" s="86"/>
      <c r="T196" s="86"/>
      <c r="U196" s="86"/>
      <c r="V196" s="439"/>
      <c r="W196" s="439"/>
      <c r="X196" s="439"/>
      <c r="Y196" s="439"/>
      <c r="Z196" s="439"/>
      <c r="AA196" s="439"/>
      <c r="AB196" s="439"/>
      <c r="AC196" s="439"/>
      <c r="AD196" s="439"/>
      <c r="AE196" s="439"/>
    </row>
    <row r="197" spans="11:31" x14ac:dyDescent="0.2">
      <c r="K197" s="439"/>
      <c r="L197" s="86"/>
      <c r="M197" s="86"/>
      <c r="N197" s="86"/>
      <c r="O197" s="656"/>
      <c r="P197" s="86"/>
      <c r="Q197" s="86"/>
      <c r="R197" s="86"/>
      <c r="S197" s="86"/>
      <c r="T197" s="86"/>
      <c r="U197" s="86"/>
      <c r="V197" s="439"/>
      <c r="W197" s="439"/>
      <c r="X197" s="439"/>
      <c r="Y197" s="439"/>
      <c r="Z197" s="439"/>
      <c r="AA197" s="439"/>
      <c r="AB197" s="439"/>
      <c r="AC197" s="439"/>
      <c r="AD197" s="439"/>
      <c r="AE197" s="439"/>
    </row>
    <row r="198" spans="11:31" x14ac:dyDescent="0.2">
      <c r="K198" s="439"/>
      <c r="L198" s="86"/>
      <c r="M198" s="86"/>
      <c r="N198" s="86"/>
      <c r="O198" s="656"/>
      <c r="P198" s="86"/>
      <c r="Q198" s="86"/>
      <c r="R198" s="86"/>
      <c r="S198" s="86"/>
      <c r="T198" s="86"/>
      <c r="U198" s="86"/>
      <c r="V198" s="439"/>
      <c r="W198" s="439"/>
      <c r="X198" s="439"/>
      <c r="Y198" s="439"/>
      <c r="Z198" s="439"/>
      <c r="AA198" s="439"/>
      <c r="AB198" s="439"/>
      <c r="AC198" s="439"/>
      <c r="AD198" s="439"/>
      <c r="AE198" s="439"/>
    </row>
    <row r="199" spans="11:31" x14ac:dyDescent="0.2">
      <c r="K199" s="439"/>
      <c r="L199" s="86"/>
      <c r="M199" s="86"/>
      <c r="N199" s="86"/>
      <c r="O199" s="656"/>
      <c r="P199" s="86"/>
      <c r="Q199" s="86"/>
      <c r="R199" s="86"/>
      <c r="S199" s="86"/>
      <c r="T199" s="86"/>
      <c r="U199" s="86"/>
      <c r="V199" s="439"/>
      <c r="W199" s="439"/>
      <c r="X199" s="439"/>
      <c r="Y199" s="439"/>
      <c r="Z199" s="439"/>
      <c r="AA199" s="439"/>
      <c r="AB199" s="439"/>
      <c r="AC199" s="439"/>
      <c r="AD199" s="439"/>
      <c r="AE199" s="439"/>
    </row>
    <row r="200" spans="11:31" x14ac:dyDescent="0.2">
      <c r="K200" s="439"/>
      <c r="L200" s="86"/>
      <c r="M200" s="86"/>
      <c r="N200" s="86"/>
      <c r="O200" s="656"/>
      <c r="P200" s="86"/>
      <c r="Q200" s="86"/>
      <c r="R200" s="86"/>
      <c r="S200" s="86"/>
      <c r="T200" s="86"/>
      <c r="U200" s="86"/>
      <c r="V200" s="439"/>
      <c r="W200" s="439"/>
      <c r="X200" s="439"/>
      <c r="Y200" s="439"/>
      <c r="Z200" s="439"/>
      <c r="AA200" s="439"/>
      <c r="AB200" s="439"/>
      <c r="AC200" s="439"/>
      <c r="AD200" s="439"/>
      <c r="AE200" s="439"/>
    </row>
    <row r="201" spans="11:31" x14ac:dyDescent="0.2">
      <c r="K201" s="439"/>
      <c r="L201" s="86"/>
      <c r="M201" s="86"/>
      <c r="N201" s="86"/>
      <c r="O201" s="656"/>
      <c r="P201" s="86"/>
      <c r="Q201" s="86"/>
      <c r="R201" s="86"/>
      <c r="S201" s="86"/>
      <c r="T201" s="86"/>
      <c r="U201" s="86"/>
      <c r="V201" s="439"/>
      <c r="W201" s="439"/>
      <c r="X201" s="439"/>
      <c r="Y201" s="439"/>
      <c r="Z201" s="439"/>
      <c r="AA201" s="439"/>
      <c r="AB201" s="439"/>
      <c r="AC201" s="439"/>
      <c r="AD201" s="439"/>
      <c r="AE201" s="439"/>
    </row>
    <row r="202" spans="11:31" x14ac:dyDescent="0.2">
      <c r="K202" s="439"/>
      <c r="L202" s="86"/>
      <c r="M202" s="86"/>
      <c r="N202" s="86"/>
      <c r="O202" s="656"/>
      <c r="P202" s="86"/>
      <c r="Q202" s="86"/>
      <c r="R202" s="86"/>
      <c r="S202" s="86"/>
      <c r="T202" s="86"/>
      <c r="U202" s="86"/>
      <c r="V202" s="439"/>
      <c r="W202" s="439"/>
      <c r="X202" s="439"/>
      <c r="Y202" s="439"/>
      <c r="Z202" s="439"/>
      <c r="AA202" s="439"/>
      <c r="AB202" s="439"/>
      <c r="AC202" s="439"/>
      <c r="AD202" s="439"/>
      <c r="AE202" s="439"/>
    </row>
    <row r="203" spans="11:31" x14ac:dyDescent="0.2">
      <c r="K203" s="439"/>
      <c r="L203" s="86"/>
      <c r="M203" s="86"/>
      <c r="N203" s="86"/>
      <c r="O203" s="656"/>
      <c r="P203" s="86"/>
      <c r="Q203" s="86"/>
      <c r="R203" s="86"/>
      <c r="S203" s="86"/>
      <c r="T203" s="86"/>
      <c r="U203" s="86"/>
      <c r="V203" s="439"/>
      <c r="W203" s="439"/>
      <c r="X203" s="439"/>
      <c r="Y203" s="439"/>
      <c r="Z203" s="439"/>
      <c r="AA203" s="439"/>
      <c r="AB203" s="439"/>
      <c r="AC203" s="439"/>
      <c r="AD203" s="439"/>
      <c r="AE203" s="439"/>
    </row>
    <row r="204" spans="11:31" x14ac:dyDescent="0.2">
      <c r="K204" s="439"/>
      <c r="L204" s="86"/>
      <c r="M204" s="86"/>
      <c r="N204" s="86"/>
      <c r="O204" s="656"/>
      <c r="P204" s="86"/>
      <c r="Q204" s="86"/>
      <c r="R204" s="86"/>
      <c r="S204" s="86"/>
      <c r="T204" s="86"/>
      <c r="U204" s="86"/>
      <c r="V204" s="439"/>
      <c r="W204" s="439"/>
      <c r="X204" s="439"/>
      <c r="Y204" s="439"/>
      <c r="Z204" s="439"/>
      <c r="AA204" s="439"/>
      <c r="AB204" s="439"/>
      <c r="AC204" s="439"/>
      <c r="AD204" s="439"/>
      <c r="AE204" s="439"/>
    </row>
    <row r="205" spans="11:31" x14ac:dyDescent="0.2">
      <c r="K205" s="439"/>
      <c r="L205" s="86"/>
      <c r="M205" s="86"/>
      <c r="N205" s="86"/>
      <c r="O205" s="656"/>
      <c r="P205" s="86"/>
      <c r="Q205" s="86"/>
      <c r="R205" s="86"/>
      <c r="S205" s="86"/>
      <c r="T205" s="86"/>
      <c r="U205" s="86"/>
      <c r="V205" s="439"/>
      <c r="W205" s="439"/>
      <c r="X205" s="439"/>
      <c r="Y205" s="439"/>
      <c r="Z205" s="439"/>
      <c r="AA205" s="439"/>
      <c r="AB205" s="439"/>
      <c r="AC205" s="439"/>
      <c r="AD205" s="439"/>
      <c r="AE205" s="439"/>
    </row>
    <row r="206" spans="11:31" x14ac:dyDescent="0.2">
      <c r="K206" s="439"/>
      <c r="L206" s="86"/>
      <c r="M206" s="86"/>
      <c r="N206" s="86"/>
      <c r="O206" s="656"/>
      <c r="P206" s="86"/>
      <c r="Q206" s="86"/>
      <c r="R206" s="86"/>
      <c r="S206" s="86"/>
      <c r="T206" s="86"/>
      <c r="U206" s="86"/>
      <c r="V206" s="439"/>
      <c r="W206" s="439"/>
      <c r="X206" s="439"/>
      <c r="Y206" s="439"/>
      <c r="Z206" s="439"/>
      <c r="AA206" s="439"/>
      <c r="AB206" s="439"/>
      <c r="AC206" s="439"/>
      <c r="AD206" s="439"/>
      <c r="AE206" s="439"/>
    </row>
    <row r="207" spans="11:31" x14ac:dyDescent="0.2">
      <c r="K207" s="439"/>
      <c r="L207" s="86"/>
      <c r="M207" s="86"/>
      <c r="N207" s="86"/>
      <c r="O207" s="656"/>
      <c r="P207" s="86"/>
      <c r="Q207" s="86"/>
      <c r="R207" s="86"/>
      <c r="S207" s="86"/>
      <c r="T207" s="86"/>
      <c r="U207" s="86"/>
      <c r="V207" s="439"/>
      <c r="W207" s="439"/>
      <c r="X207" s="439"/>
      <c r="Y207" s="439"/>
      <c r="Z207" s="439"/>
      <c r="AA207" s="439"/>
      <c r="AB207" s="439"/>
      <c r="AC207" s="439"/>
      <c r="AD207" s="439"/>
      <c r="AE207" s="439"/>
    </row>
    <row r="208" spans="11:31" x14ac:dyDescent="0.2">
      <c r="K208" s="439"/>
      <c r="L208" s="86"/>
      <c r="M208" s="86"/>
      <c r="N208" s="86"/>
      <c r="O208" s="656"/>
      <c r="P208" s="86"/>
      <c r="Q208" s="86"/>
      <c r="R208" s="86"/>
      <c r="S208" s="86"/>
      <c r="T208" s="86"/>
      <c r="U208" s="86"/>
      <c r="V208" s="439"/>
      <c r="W208" s="439"/>
      <c r="X208" s="439"/>
      <c r="Y208" s="439"/>
      <c r="Z208" s="439"/>
      <c r="AA208" s="439"/>
      <c r="AB208" s="439"/>
      <c r="AC208" s="439"/>
      <c r="AD208" s="439"/>
      <c r="AE208" s="439"/>
    </row>
    <row r="209" spans="11:31" x14ac:dyDescent="0.2">
      <c r="K209" s="439"/>
      <c r="L209" s="86"/>
      <c r="M209" s="86"/>
      <c r="N209" s="86"/>
      <c r="O209" s="656"/>
      <c r="P209" s="86"/>
      <c r="Q209" s="86"/>
      <c r="R209" s="86"/>
      <c r="S209" s="86"/>
      <c r="T209" s="86"/>
      <c r="U209" s="86"/>
      <c r="V209" s="439"/>
      <c r="W209" s="439"/>
      <c r="X209" s="439"/>
      <c r="Y209" s="439"/>
      <c r="Z209" s="439"/>
      <c r="AA209" s="439"/>
      <c r="AB209" s="439"/>
      <c r="AC209" s="439"/>
      <c r="AD209" s="439"/>
      <c r="AE209" s="439"/>
    </row>
    <row r="210" spans="11:31" x14ac:dyDescent="0.2">
      <c r="K210" s="439"/>
      <c r="L210" s="86"/>
      <c r="M210" s="86"/>
      <c r="N210" s="86"/>
      <c r="O210" s="656"/>
      <c r="P210" s="86"/>
      <c r="Q210" s="86"/>
      <c r="R210" s="86"/>
      <c r="S210" s="86"/>
      <c r="T210" s="86"/>
      <c r="U210" s="86"/>
      <c r="V210" s="439"/>
      <c r="W210" s="439"/>
      <c r="X210" s="439"/>
      <c r="Y210" s="439"/>
      <c r="Z210" s="439"/>
      <c r="AA210" s="439"/>
      <c r="AB210" s="439"/>
      <c r="AC210" s="439"/>
      <c r="AD210" s="439"/>
      <c r="AE210" s="439"/>
    </row>
    <row r="211" spans="11:31" x14ac:dyDescent="0.2">
      <c r="K211" s="439"/>
      <c r="L211" s="86"/>
      <c r="M211" s="86"/>
      <c r="N211" s="86"/>
      <c r="O211" s="656"/>
      <c r="P211" s="86"/>
      <c r="Q211" s="86"/>
      <c r="R211" s="86"/>
      <c r="S211" s="86"/>
      <c r="T211" s="86"/>
      <c r="U211" s="86"/>
      <c r="V211" s="439"/>
      <c r="W211" s="439"/>
      <c r="X211" s="439"/>
      <c r="Y211" s="439"/>
      <c r="Z211" s="439"/>
      <c r="AA211" s="439"/>
      <c r="AB211" s="439"/>
      <c r="AC211" s="439"/>
      <c r="AD211" s="439"/>
      <c r="AE211" s="439"/>
    </row>
    <row r="212" spans="11:31" x14ac:dyDescent="0.2">
      <c r="K212" s="439"/>
      <c r="L212" s="86"/>
      <c r="M212" s="86"/>
      <c r="N212" s="86"/>
      <c r="O212" s="656"/>
      <c r="P212" s="86"/>
      <c r="Q212" s="86"/>
      <c r="R212" s="86"/>
      <c r="S212" s="86"/>
      <c r="T212" s="86"/>
      <c r="U212" s="86"/>
      <c r="V212" s="439"/>
      <c r="W212" s="439"/>
      <c r="X212" s="439"/>
      <c r="Y212" s="439"/>
      <c r="Z212" s="439"/>
      <c r="AA212" s="439"/>
      <c r="AB212" s="439"/>
      <c r="AC212" s="439"/>
      <c r="AD212" s="439"/>
      <c r="AE212" s="439"/>
    </row>
    <row r="213" spans="11:31" x14ac:dyDescent="0.2">
      <c r="K213" s="439"/>
      <c r="L213" s="86"/>
      <c r="M213" s="86"/>
      <c r="N213" s="86"/>
      <c r="O213" s="656"/>
      <c r="P213" s="86"/>
      <c r="Q213" s="86"/>
      <c r="R213" s="86"/>
      <c r="S213" s="86"/>
      <c r="T213" s="86"/>
      <c r="U213" s="86"/>
      <c r="V213" s="439"/>
      <c r="W213" s="439"/>
      <c r="X213" s="439"/>
      <c r="Y213" s="439"/>
      <c r="Z213" s="439"/>
      <c r="AA213" s="439"/>
      <c r="AB213" s="439"/>
      <c r="AC213" s="439"/>
      <c r="AD213" s="439"/>
      <c r="AE213" s="439"/>
    </row>
    <row r="214" spans="11:31" x14ac:dyDescent="0.2">
      <c r="K214" s="439"/>
      <c r="L214" s="86"/>
      <c r="M214" s="86"/>
      <c r="N214" s="86"/>
      <c r="O214" s="656"/>
      <c r="P214" s="86"/>
      <c r="Q214" s="86"/>
      <c r="R214" s="86"/>
      <c r="S214" s="86"/>
      <c r="T214" s="86"/>
      <c r="U214" s="86"/>
      <c r="V214" s="439"/>
      <c r="W214" s="439"/>
      <c r="X214" s="439"/>
      <c r="Y214" s="439"/>
      <c r="Z214" s="439"/>
      <c r="AA214" s="439"/>
      <c r="AB214" s="439"/>
      <c r="AC214" s="439"/>
      <c r="AD214" s="439"/>
      <c r="AE214" s="439"/>
    </row>
    <row r="215" spans="11:31" x14ac:dyDescent="0.2">
      <c r="K215" s="439"/>
      <c r="L215" s="86"/>
      <c r="M215" s="86"/>
      <c r="N215" s="86"/>
      <c r="O215" s="656"/>
      <c r="P215" s="86"/>
      <c r="Q215" s="86"/>
      <c r="R215" s="86"/>
      <c r="S215" s="86"/>
      <c r="T215" s="86"/>
      <c r="U215" s="86"/>
      <c r="V215" s="439"/>
      <c r="W215" s="439"/>
      <c r="X215" s="439"/>
      <c r="Y215" s="439"/>
      <c r="Z215" s="439"/>
      <c r="AA215" s="439"/>
      <c r="AB215" s="439"/>
      <c r="AC215" s="439"/>
      <c r="AD215" s="439"/>
      <c r="AE215" s="439"/>
    </row>
    <row r="216" spans="11:31" x14ac:dyDescent="0.2">
      <c r="K216" s="439"/>
      <c r="L216" s="86"/>
      <c r="M216" s="86"/>
      <c r="N216" s="86"/>
      <c r="O216" s="656"/>
      <c r="P216" s="86"/>
      <c r="Q216" s="86"/>
      <c r="R216" s="86"/>
      <c r="S216" s="86"/>
      <c r="T216" s="86"/>
      <c r="U216" s="86"/>
      <c r="V216" s="439"/>
      <c r="W216" s="439"/>
      <c r="X216" s="439"/>
      <c r="Y216" s="439"/>
      <c r="Z216" s="439"/>
      <c r="AA216" s="439"/>
      <c r="AB216" s="439"/>
      <c r="AC216" s="439"/>
      <c r="AD216" s="439"/>
      <c r="AE216" s="439"/>
    </row>
    <row r="217" spans="11:31" x14ac:dyDescent="0.2">
      <c r="K217" s="439"/>
      <c r="L217" s="86"/>
      <c r="M217" s="86"/>
      <c r="N217" s="86"/>
      <c r="O217" s="656"/>
      <c r="P217" s="86"/>
      <c r="Q217" s="86"/>
      <c r="R217" s="86"/>
      <c r="S217" s="86"/>
      <c r="T217" s="86"/>
      <c r="U217" s="86"/>
      <c r="V217" s="439"/>
      <c r="W217" s="439"/>
      <c r="X217" s="439"/>
      <c r="Y217" s="439"/>
      <c r="Z217" s="439"/>
      <c r="AA217" s="439"/>
      <c r="AB217" s="439"/>
      <c r="AC217" s="439"/>
      <c r="AD217" s="439"/>
      <c r="AE217" s="439"/>
    </row>
    <row r="218" spans="11:31" x14ac:dyDescent="0.2">
      <c r="K218" s="439"/>
      <c r="L218" s="86"/>
      <c r="M218" s="86"/>
      <c r="N218" s="86"/>
      <c r="O218" s="656"/>
      <c r="P218" s="86"/>
      <c r="Q218" s="86"/>
      <c r="R218" s="86"/>
      <c r="S218" s="86"/>
      <c r="T218" s="86"/>
      <c r="U218" s="86"/>
      <c r="V218" s="439"/>
      <c r="W218" s="439"/>
      <c r="X218" s="439"/>
      <c r="Y218" s="439"/>
      <c r="Z218" s="439"/>
      <c r="AA218" s="439"/>
      <c r="AB218" s="439"/>
      <c r="AC218" s="439"/>
      <c r="AD218" s="439"/>
      <c r="AE218" s="439"/>
    </row>
    <row r="219" spans="11:31" x14ac:dyDescent="0.2">
      <c r="K219" s="439"/>
      <c r="L219" s="86"/>
      <c r="M219" s="86"/>
      <c r="N219" s="86"/>
      <c r="O219" s="656"/>
      <c r="P219" s="86"/>
      <c r="Q219" s="86"/>
      <c r="R219" s="86"/>
      <c r="S219" s="86"/>
      <c r="T219" s="86"/>
      <c r="U219" s="86"/>
      <c r="V219" s="439"/>
      <c r="W219" s="439"/>
      <c r="X219" s="439"/>
      <c r="Y219" s="439"/>
      <c r="Z219" s="439"/>
      <c r="AA219" s="439"/>
      <c r="AB219" s="439"/>
      <c r="AC219" s="439"/>
      <c r="AD219" s="439"/>
      <c r="AE219" s="439"/>
    </row>
    <row r="220" spans="11:31" x14ac:dyDescent="0.2">
      <c r="K220" s="439"/>
      <c r="L220" s="86"/>
      <c r="M220" s="86"/>
      <c r="N220" s="86"/>
      <c r="O220" s="656"/>
      <c r="P220" s="86"/>
      <c r="Q220" s="86"/>
      <c r="R220" s="86"/>
      <c r="S220" s="86"/>
      <c r="T220" s="86"/>
      <c r="U220" s="86"/>
      <c r="V220" s="439"/>
      <c r="W220" s="439"/>
      <c r="X220" s="439"/>
      <c r="Y220" s="439"/>
      <c r="Z220" s="439"/>
      <c r="AA220" s="439"/>
      <c r="AB220" s="439"/>
      <c r="AC220" s="439"/>
      <c r="AD220" s="439"/>
      <c r="AE220" s="439"/>
    </row>
    <row r="221" spans="11:31" x14ac:dyDescent="0.2">
      <c r="K221" s="439"/>
      <c r="L221" s="86"/>
      <c r="M221" s="86"/>
      <c r="N221" s="86"/>
      <c r="O221" s="656"/>
      <c r="P221" s="86"/>
      <c r="Q221" s="86"/>
      <c r="R221" s="86"/>
      <c r="S221" s="86"/>
      <c r="T221" s="86"/>
      <c r="U221" s="86"/>
      <c r="V221" s="439"/>
      <c r="W221" s="439"/>
      <c r="X221" s="439"/>
      <c r="Y221" s="439"/>
      <c r="Z221" s="439"/>
      <c r="AA221" s="439"/>
      <c r="AB221" s="439"/>
      <c r="AC221" s="439"/>
      <c r="AD221" s="439"/>
      <c r="AE221" s="439"/>
    </row>
    <row r="222" spans="11:31" x14ac:dyDescent="0.2">
      <c r="K222" s="439"/>
      <c r="L222" s="439"/>
      <c r="M222" s="439"/>
      <c r="N222" s="439"/>
      <c r="O222" s="514"/>
      <c r="P222" s="439"/>
      <c r="Q222" s="439"/>
      <c r="R222" s="439"/>
      <c r="S222" s="439"/>
      <c r="T222" s="439"/>
      <c r="U222" s="439"/>
      <c r="V222" s="439"/>
      <c r="W222" s="439"/>
      <c r="X222" s="439"/>
      <c r="Y222" s="439"/>
      <c r="Z222" s="439"/>
      <c r="AA222" s="439"/>
      <c r="AB222" s="439"/>
      <c r="AC222" s="439"/>
      <c r="AD222" s="439"/>
      <c r="AE222" s="439"/>
    </row>
    <row r="223" spans="11:31" x14ac:dyDescent="0.2">
      <c r="K223" s="439"/>
      <c r="L223" s="439"/>
      <c r="M223" s="439"/>
      <c r="N223" s="439"/>
      <c r="O223" s="514"/>
      <c r="P223" s="439"/>
      <c r="Q223" s="439"/>
      <c r="R223" s="439"/>
      <c r="S223" s="439"/>
      <c r="T223" s="439"/>
      <c r="U223" s="439"/>
      <c r="V223" s="439"/>
      <c r="W223" s="439"/>
      <c r="X223" s="439"/>
      <c r="Y223" s="439"/>
      <c r="Z223" s="439"/>
      <c r="AA223" s="439"/>
      <c r="AB223" s="439"/>
      <c r="AC223" s="439"/>
      <c r="AD223" s="439"/>
      <c r="AE223" s="439"/>
    </row>
    <row r="224" spans="11:31" x14ac:dyDescent="0.2">
      <c r="K224" s="439"/>
      <c r="L224" s="439"/>
      <c r="M224" s="439"/>
      <c r="N224" s="439"/>
      <c r="O224" s="514"/>
      <c r="P224" s="439"/>
      <c r="Q224" s="439"/>
      <c r="R224" s="439"/>
      <c r="S224" s="439"/>
      <c r="T224" s="439"/>
      <c r="U224" s="439"/>
      <c r="V224" s="439"/>
      <c r="W224" s="439"/>
      <c r="X224" s="439"/>
      <c r="Y224" s="439"/>
      <c r="Z224" s="439"/>
      <c r="AA224" s="439"/>
      <c r="AB224" s="439"/>
      <c r="AC224" s="439"/>
      <c r="AD224" s="439"/>
      <c r="AE224" s="439"/>
    </row>
    <row r="225" spans="11:31" x14ac:dyDescent="0.2">
      <c r="K225" s="439"/>
      <c r="L225" s="439"/>
      <c r="M225" s="439"/>
      <c r="N225" s="439"/>
      <c r="O225" s="514"/>
      <c r="P225" s="439"/>
      <c r="Q225" s="439"/>
      <c r="R225" s="439"/>
      <c r="S225" s="439"/>
      <c r="T225" s="439"/>
      <c r="U225" s="439"/>
      <c r="V225" s="439"/>
      <c r="W225" s="439"/>
      <c r="X225" s="439"/>
      <c r="Y225" s="439"/>
      <c r="Z225" s="439"/>
      <c r="AA225" s="439"/>
      <c r="AB225" s="439"/>
      <c r="AC225" s="439"/>
      <c r="AD225" s="439"/>
      <c r="AE225" s="439"/>
    </row>
    <row r="226" spans="11:31" x14ac:dyDescent="0.2">
      <c r="K226" s="439"/>
      <c r="L226" s="439"/>
      <c r="M226" s="439"/>
      <c r="N226" s="439"/>
      <c r="O226" s="514"/>
      <c r="P226" s="439"/>
      <c r="Q226" s="439"/>
      <c r="R226" s="439"/>
      <c r="S226" s="439"/>
      <c r="T226" s="439"/>
      <c r="U226" s="439"/>
      <c r="V226" s="439"/>
      <c r="W226" s="439"/>
      <c r="X226" s="439"/>
      <c r="Y226" s="439"/>
      <c r="Z226" s="439"/>
      <c r="AA226" s="439"/>
      <c r="AB226" s="439"/>
      <c r="AC226" s="439"/>
      <c r="AD226" s="439"/>
      <c r="AE226" s="439"/>
    </row>
    <row r="227" spans="11:31" x14ac:dyDescent="0.2">
      <c r="K227" s="439"/>
      <c r="L227" s="439"/>
      <c r="M227" s="439"/>
      <c r="N227" s="439"/>
      <c r="O227" s="514"/>
      <c r="P227" s="439"/>
      <c r="Q227" s="439"/>
      <c r="R227" s="439"/>
      <c r="S227" s="439"/>
      <c r="T227" s="439"/>
      <c r="U227" s="439"/>
      <c r="V227" s="439"/>
      <c r="W227" s="439"/>
      <c r="X227" s="439"/>
      <c r="Y227" s="439"/>
      <c r="Z227" s="439"/>
      <c r="AA227" s="439"/>
      <c r="AB227" s="439"/>
      <c r="AC227" s="439"/>
      <c r="AD227" s="439"/>
      <c r="AE227" s="439"/>
    </row>
    <row r="228" spans="11:31" x14ac:dyDescent="0.2">
      <c r="K228" s="439"/>
      <c r="L228" s="439"/>
      <c r="M228" s="439"/>
      <c r="N228" s="439"/>
      <c r="O228" s="514"/>
      <c r="P228" s="439"/>
      <c r="Q228" s="439"/>
      <c r="R228" s="439"/>
      <c r="S228" s="439"/>
      <c r="T228" s="439"/>
      <c r="U228" s="439"/>
      <c r="V228" s="439"/>
      <c r="W228" s="439"/>
      <c r="X228" s="439"/>
      <c r="Y228" s="439"/>
      <c r="Z228" s="439"/>
      <c r="AA228" s="439"/>
      <c r="AB228" s="439"/>
      <c r="AC228" s="439"/>
      <c r="AD228" s="439"/>
      <c r="AE228" s="439"/>
    </row>
    <row r="229" spans="11:31" x14ac:dyDescent="0.2">
      <c r="K229" s="439"/>
      <c r="L229" s="439"/>
      <c r="M229" s="439"/>
      <c r="N229" s="439"/>
      <c r="O229" s="514"/>
      <c r="P229" s="439"/>
      <c r="Q229" s="439"/>
      <c r="R229" s="439"/>
      <c r="S229" s="439"/>
      <c r="T229" s="439"/>
      <c r="U229" s="439"/>
      <c r="V229" s="439"/>
      <c r="W229" s="439"/>
      <c r="X229" s="439"/>
      <c r="Y229" s="439"/>
      <c r="Z229" s="439"/>
      <c r="AA229" s="439"/>
      <c r="AB229" s="439"/>
      <c r="AC229" s="439"/>
      <c r="AD229" s="439"/>
      <c r="AE229" s="439"/>
    </row>
    <row r="230" spans="11:31" x14ac:dyDescent="0.2">
      <c r="K230" s="439"/>
      <c r="L230" s="439"/>
      <c r="M230" s="439"/>
      <c r="N230" s="439"/>
      <c r="O230" s="514"/>
      <c r="P230" s="439"/>
      <c r="Q230" s="439"/>
      <c r="R230" s="439"/>
      <c r="S230" s="439"/>
      <c r="T230" s="439"/>
      <c r="U230" s="439"/>
      <c r="V230" s="439"/>
      <c r="W230" s="439"/>
      <c r="X230" s="439"/>
      <c r="Y230" s="439"/>
      <c r="Z230" s="439"/>
      <c r="AA230" s="439"/>
      <c r="AB230" s="439"/>
      <c r="AC230" s="439"/>
      <c r="AD230" s="439"/>
      <c r="AE230" s="439"/>
    </row>
    <row r="231" spans="11:31" x14ac:dyDescent="0.2">
      <c r="K231" s="439"/>
      <c r="L231" s="439"/>
      <c r="M231" s="439"/>
      <c r="N231" s="439"/>
      <c r="O231" s="514"/>
      <c r="P231" s="439"/>
      <c r="Q231" s="439"/>
      <c r="R231" s="439"/>
      <c r="S231" s="439"/>
      <c r="T231" s="439"/>
      <c r="U231" s="439"/>
      <c r="V231" s="439"/>
      <c r="W231" s="439"/>
      <c r="X231" s="439"/>
      <c r="Y231" s="439"/>
      <c r="Z231" s="439"/>
      <c r="AA231" s="439"/>
      <c r="AB231" s="439"/>
      <c r="AC231" s="439"/>
      <c r="AD231" s="439"/>
      <c r="AE231" s="439"/>
    </row>
    <row r="232" spans="11:31" x14ac:dyDescent="0.2">
      <c r="K232" s="439"/>
      <c r="L232" s="439"/>
      <c r="M232" s="439"/>
      <c r="N232" s="439"/>
      <c r="O232" s="514"/>
      <c r="P232" s="439"/>
      <c r="Q232" s="439"/>
      <c r="R232" s="439"/>
      <c r="S232" s="439"/>
      <c r="T232" s="439"/>
      <c r="U232" s="439"/>
      <c r="V232" s="439"/>
      <c r="W232" s="439"/>
      <c r="X232" s="439"/>
      <c r="Y232" s="439"/>
      <c r="Z232" s="439"/>
      <c r="AA232" s="439"/>
      <c r="AB232" s="439"/>
      <c r="AC232" s="439"/>
      <c r="AD232" s="439"/>
      <c r="AE232" s="439"/>
    </row>
    <row r="233" spans="11:31" x14ac:dyDescent="0.2">
      <c r="K233" s="439"/>
      <c r="L233" s="439"/>
      <c r="M233" s="439"/>
      <c r="N233" s="439"/>
      <c r="O233" s="514"/>
      <c r="P233" s="439"/>
      <c r="Q233" s="439"/>
      <c r="R233" s="439"/>
      <c r="S233" s="439"/>
      <c r="T233" s="439"/>
      <c r="U233" s="439"/>
      <c r="V233" s="439"/>
      <c r="W233" s="439"/>
      <c r="X233" s="439"/>
      <c r="Y233" s="439"/>
      <c r="Z233" s="439"/>
      <c r="AA233" s="439"/>
      <c r="AB233" s="439"/>
      <c r="AC233" s="439"/>
      <c r="AD233" s="439"/>
      <c r="AE233" s="439"/>
    </row>
    <row r="234" spans="11:31" x14ac:dyDescent="0.2">
      <c r="K234" s="439"/>
      <c r="L234" s="439"/>
      <c r="M234" s="439"/>
      <c r="N234" s="439"/>
      <c r="O234" s="514"/>
      <c r="P234" s="439"/>
      <c r="Q234" s="439"/>
      <c r="R234" s="439"/>
      <c r="S234" s="439"/>
      <c r="T234" s="439"/>
      <c r="U234" s="439"/>
      <c r="V234" s="439"/>
      <c r="W234" s="439"/>
      <c r="X234" s="439"/>
      <c r="Y234" s="439"/>
      <c r="Z234" s="439"/>
      <c r="AA234" s="439"/>
      <c r="AB234" s="439"/>
      <c r="AC234" s="439"/>
      <c r="AD234" s="439"/>
      <c r="AE234" s="439"/>
    </row>
    <row r="235" spans="11:31" x14ac:dyDescent="0.2">
      <c r="K235" s="439"/>
      <c r="L235" s="439"/>
      <c r="M235" s="439"/>
      <c r="N235" s="439"/>
      <c r="O235" s="514"/>
      <c r="P235" s="439"/>
      <c r="Q235" s="439"/>
      <c r="R235" s="439"/>
      <c r="S235" s="439"/>
      <c r="T235" s="439"/>
      <c r="U235" s="439"/>
      <c r="V235" s="439"/>
      <c r="W235" s="439"/>
      <c r="X235" s="439"/>
      <c r="Y235" s="439"/>
      <c r="Z235" s="439"/>
      <c r="AA235" s="439"/>
      <c r="AB235" s="439"/>
      <c r="AC235" s="439"/>
      <c r="AD235" s="439"/>
      <c r="AE235" s="439"/>
    </row>
    <row r="236" spans="11:31" x14ac:dyDescent="0.2">
      <c r="K236" s="439"/>
      <c r="L236" s="439"/>
      <c r="M236" s="439"/>
      <c r="N236" s="439"/>
      <c r="O236" s="514"/>
      <c r="P236" s="439"/>
      <c r="Q236" s="439"/>
      <c r="R236" s="439"/>
      <c r="S236" s="439"/>
      <c r="T236" s="439"/>
      <c r="U236" s="439"/>
      <c r="V236" s="439"/>
      <c r="W236" s="439"/>
      <c r="X236" s="439"/>
      <c r="Y236" s="439"/>
      <c r="Z236" s="439"/>
      <c r="AA236" s="439"/>
      <c r="AB236" s="439"/>
      <c r="AC236" s="439"/>
      <c r="AD236" s="439"/>
      <c r="AE236" s="439"/>
    </row>
    <row r="237" spans="11:31" x14ac:dyDescent="0.2">
      <c r="K237" s="439"/>
      <c r="L237" s="439"/>
      <c r="M237" s="439"/>
      <c r="N237" s="439"/>
      <c r="O237" s="514"/>
      <c r="P237" s="439"/>
      <c r="Q237" s="439"/>
      <c r="R237" s="439"/>
      <c r="S237" s="439"/>
      <c r="T237" s="439"/>
      <c r="U237" s="439"/>
      <c r="V237" s="439"/>
      <c r="W237" s="439"/>
      <c r="X237" s="439"/>
      <c r="Y237" s="439"/>
      <c r="Z237" s="439"/>
      <c r="AA237" s="439"/>
      <c r="AB237" s="439"/>
      <c r="AC237" s="439"/>
      <c r="AD237" s="439"/>
      <c r="AE237" s="439"/>
    </row>
    <row r="238" spans="11:31" x14ac:dyDescent="0.2">
      <c r="K238" s="439"/>
      <c r="L238" s="439"/>
      <c r="M238" s="439"/>
      <c r="N238" s="439"/>
      <c r="O238" s="514"/>
      <c r="P238" s="439"/>
      <c r="Q238" s="439"/>
      <c r="R238" s="439"/>
      <c r="S238" s="439"/>
      <c r="T238" s="439"/>
      <c r="U238" s="439"/>
      <c r="V238" s="439"/>
      <c r="W238" s="439"/>
      <c r="X238" s="439"/>
      <c r="Y238" s="439"/>
      <c r="Z238" s="439"/>
      <c r="AA238" s="439"/>
      <c r="AB238" s="439"/>
      <c r="AC238" s="439"/>
      <c r="AD238" s="439"/>
      <c r="AE238" s="439"/>
    </row>
    <row r="239" spans="11:31" x14ac:dyDescent="0.2">
      <c r="K239" s="439"/>
      <c r="L239" s="439"/>
      <c r="M239" s="439"/>
      <c r="N239" s="439"/>
      <c r="O239" s="514"/>
      <c r="P239" s="439"/>
      <c r="Q239" s="439"/>
      <c r="R239" s="439"/>
      <c r="S239" s="439"/>
      <c r="T239" s="439"/>
      <c r="U239" s="439"/>
      <c r="V239" s="439"/>
      <c r="W239" s="439"/>
      <c r="X239" s="439"/>
      <c r="Y239" s="439"/>
      <c r="Z239" s="439"/>
      <c r="AA239" s="439"/>
      <c r="AB239" s="439"/>
      <c r="AC239" s="439"/>
      <c r="AD239" s="439"/>
      <c r="AE239" s="439"/>
    </row>
    <row r="240" spans="11:31" x14ac:dyDescent="0.2">
      <c r="K240" s="439"/>
      <c r="L240" s="439"/>
      <c r="M240" s="439"/>
      <c r="N240" s="439"/>
      <c r="O240" s="514"/>
      <c r="P240" s="439"/>
      <c r="Q240" s="439"/>
      <c r="R240" s="439"/>
      <c r="S240" s="439"/>
      <c r="T240" s="439"/>
      <c r="U240" s="439"/>
      <c r="V240" s="439"/>
      <c r="W240" s="439"/>
      <c r="X240" s="439"/>
      <c r="Y240" s="439"/>
      <c r="Z240" s="439"/>
      <c r="AA240" s="439"/>
      <c r="AB240" s="439"/>
      <c r="AC240" s="439"/>
      <c r="AD240" s="439"/>
      <c r="AE240" s="439"/>
    </row>
    <row r="241" spans="11:31" x14ac:dyDescent="0.2">
      <c r="K241" s="439"/>
      <c r="L241" s="439"/>
      <c r="M241" s="439"/>
      <c r="N241" s="439"/>
      <c r="O241" s="514"/>
      <c r="P241" s="439"/>
      <c r="Q241" s="439"/>
      <c r="R241" s="439"/>
      <c r="S241" s="439"/>
      <c r="T241" s="439"/>
      <c r="U241" s="439"/>
      <c r="V241" s="439"/>
      <c r="W241" s="439"/>
      <c r="X241" s="439"/>
      <c r="Y241" s="439"/>
      <c r="Z241" s="439"/>
      <c r="AA241" s="439"/>
      <c r="AB241" s="439"/>
      <c r="AC241" s="439"/>
      <c r="AD241" s="439"/>
      <c r="AE241" s="439"/>
    </row>
    <row r="242" spans="11:31" x14ac:dyDescent="0.2">
      <c r="K242" s="439"/>
      <c r="L242" s="439"/>
      <c r="M242" s="439"/>
      <c r="N242" s="439"/>
      <c r="O242" s="514"/>
      <c r="P242" s="439"/>
      <c r="Q242" s="439"/>
      <c r="R242" s="439"/>
      <c r="S242" s="439"/>
      <c r="T242" s="439"/>
      <c r="U242" s="439"/>
      <c r="V242" s="439"/>
      <c r="W242" s="439"/>
      <c r="X242" s="439"/>
      <c r="Y242" s="439"/>
      <c r="Z242" s="439"/>
      <c r="AA242" s="439"/>
      <c r="AB242" s="439"/>
      <c r="AC242" s="439"/>
      <c r="AD242" s="439"/>
      <c r="AE242" s="439"/>
    </row>
    <row r="243" spans="11:31" x14ac:dyDescent="0.2">
      <c r="K243" s="439"/>
      <c r="L243" s="439"/>
      <c r="M243" s="439"/>
      <c r="N243" s="439"/>
      <c r="O243" s="514"/>
      <c r="P243" s="439"/>
      <c r="Q243" s="439"/>
      <c r="R243" s="439"/>
      <c r="S243" s="439"/>
      <c r="T243" s="439"/>
      <c r="U243" s="439"/>
      <c r="V243" s="439"/>
      <c r="W243" s="439"/>
      <c r="X243" s="439"/>
      <c r="Y243" s="439"/>
      <c r="Z243" s="439"/>
      <c r="AA243" s="439"/>
      <c r="AB243" s="439"/>
      <c r="AC243" s="439"/>
      <c r="AD243" s="439"/>
      <c r="AE243" s="439"/>
    </row>
    <row r="244" spans="11:31" x14ac:dyDescent="0.2">
      <c r="K244" s="439"/>
      <c r="L244" s="439"/>
      <c r="M244" s="439"/>
      <c r="N244" s="439"/>
      <c r="O244" s="514"/>
      <c r="P244" s="439"/>
      <c r="Q244" s="439"/>
      <c r="R244" s="439"/>
      <c r="S244" s="439"/>
      <c r="T244" s="439"/>
      <c r="U244" s="439"/>
      <c r="V244" s="439"/>
      <c r="W244" s="439"/>
      <c r="X244" s="439"/>
      <c r="Y244" s="439"/>
      <c r="Z244" s="439"/>
      <c r="AA244" s="439"/>
      <c r="AB244" s="439"/>
      <c r="AC244" s="439"/>
      <c r="AD244" s="439"/>
      <c r="AE244" s="439"/>
    </row>
    <row r="245" spans="11:31" x14ac:dyDescent="0.2">
      <c r="K245" s="439"/>
      <c r="L245" s="439"/>
      <c r="M245" s="439"/>
      <c r="N245" s="439"/>
      <c r="O245" s="514"/>
      <c r="P245" s="439"/>
      <c r="Q245" s="439"/>
      <c r="R245" s="439"/>
      <c r="S245" s="439"/>
      <c r="T245" s="439"/>
      <c r="U245" s="439"/>
      <c r="V245" s="439"/>
      <c r="W245" s="439"/>
      <c r="X245" s="439"/>
      <c r="Y245" s="439"/>
      <c r="Z245" s="439"/>
      <c r="AA245" s="439"/>
      <c r="AB245" s="439"/>
      <c r="AC245" s="439"/>
      <c r="AD245" s="439"/>
      <c r="AE245" s="439"/>
    </row>
    <row r="246" spans="11:31" x14ac:dyDescent="0.2">
      <c r="K246" s="439"/>
      <c r="L246" s="439"/>
      <c r="M246" s="439"/>
      <c r="N246" s="439"/>
      <c r="O246" s="514"/>
      <c r="P246" s="439"/>
      <c r="Q246" s="439"/>
      <c r="R246" s="439"/>
      <c r="S246" s="439"/>
      <c r="T246" s="439"/>
      <c r="U246" s="439"/>
      <c r="V246" s="439"/>
      <c r="W246" s="439"/>
      <c r="X246" s="439"/>
      <c r="Y246" s="439"/>
      <c r="Z246" s="439"/>
      <c r="AA246" s="439"/>
      <c r="AB246" s="439"/>
      <c r="AC246" s="439"/>
      <c r="AD246" s="439"/>
      <c r="AE246" s="439"/>
    </row>
    <row r="247" spans="11:31" x14ac:dyDescent="0.2">
      <c r="K247" s="439"/>
      <c r="L247" s="439"/>
      <c r="M247" s="439"/>
      <c r="N247" s="439"/>
      <c r="O247" s="514"/>
      <c r="P247" s="439"/>
      <c r="Q247" s="439"/>
      <c r="R247" s="439"/>
      <c r="S247" s="439"/>
      <c r="T247" s="439"/>
      <c r="U247" s="439"/>
      <c r="V247" s="439"/>
      <c r="W247" s="439"/>
      <c r="X247" s="439"/>
      <c r="Y247" s="439"/>
      <c r="Z247" s="439"/>
      <c r="AA247" s="439"/>
      <c r="AB247" s="439"/>
      <c r="AC247" s="439"/>
      <c r="AD247" s="439"/>
      <c r="AE247" s="439"/>
    </row>
    <row r="248" spans="11:31" x14ac:dyDescent="0.2">
      <c r="K248" s="439"/>
      <c r="L248" s="439"/>
      <c r="M248" s="439"/>
      <c r="N248" s="439"/>
      <c r="O248" s="514"/>
      <c r="P248" s="439"/>
      <c r="Q248" s="439"/>
      <c r="R248" s="439"/>
      <c r="S248" s="439"/>
      <c r="T248" s="439"/>
      <c r="U248" s="439"/>
      <c r="V248" s="439"/>
      <c r="W248" s="439"/>
      <c r="X248" s="439"/>
      <c r="Y248" s="439"/>
      <c r="Z248" s="439"/>
      <c r="AA248" s="439"/>
      <c r="AB248" s="439"/>
      <c r="AC248" s="439"/>
      <c r="AD248" s="439"/>
      <c r="AE248" s="439"/>
    </row>
    <row r="249" spans="11:31" x14ac:dyDescent="0.2">
      <c r="K249" s="439"/>
      <c r="L249" s="439"/>
      <c r="M249" s="439"/>
      <c r="N249" s="439"/>
      <c r="O249" s="514"/>
      <c r="P249" s="439"/>
      <c r="Q249" s="439"/>
      <c r="R249" s="439"/>
      <c r="S249" s="439"/>
      <c r="T249" s="439"/>
      <c r="U249" s="439"/>
      <c r="V249" s="439"/>
      <c r="W249" s="439"/>
      <c r="X249" s="439"/>
      <c r="Y249" s="439"/>
      <c r="Z249" s="439"/>
      <c r="AA249" s="439"/>
      <c r="AB249" s="439"/>
      <c r="AC249" s="439"/>
      <c r="AD249" s="439"/>
      <c r="AE249" s="439"/>
    </row>
    <row r="250" spans="11:31" x14ac:dyDescent="0.2">
      <c r="K250" s="439"/>
      <c r="L250" s="439"/>
      <c r="M250" s="439"/>
      <c r="N250" s="439"/>
      <c r="O250" s="514"/>
      <c r="P250" s="439"/>
      <c r="Q250" s="439"/>
      <c r="R250" s="439"/>
      <c r="S250" s="439"/>
      <c r="T250" s="439"/>
      <c r="U250" s="439"/>
      <c r="V250" s="439"/>
      <c r="W250" s="439"/>
      <c r="X250" s="439"/>
      <c r="Y250" s="439"/>
      <c r="Z250" s="439"/>
      <c r="AA250" s="439"/>
      <c r="AB250" s="439"/>
      <c r="AC250" s="439"/>
      <c r="AD250" s="439"/>
      <c r="AE250" s="439"/>
    </row>
    <row r="251" spans="11:31" x14ac:dyDescent="0.2">
      <c r="K251" s="439"/>
      <c r="L251" s="439"/>
      <c r="M251" s="439"/>
      <c r="N251" s="439"/>
      <c r="O251" s="514"/>
      <c r="P251" s="439"/>
      <c r="Q251" s="439"/>
      <c r="R251" s="439"/>
      <c r="S251" s="439"/>
      <c r="T251" s="439"/>
      <c r="U251" s="439"/>
      <c r="V251" s="439"/>
      <c r="W251" s="439"/>
      <c r="X251" s="439"/>
      <c r="Y251" s="439"/>
      <c r="Z251" s="439"/>
      <c r="AA251" s="439"/>
      <c r="AB251" s="439"/>
      <c r="AC251" s="439"/>
      <c r="AD251" s="439"/>
      <c r="AE251" s="439"/>
    </row>
    <row r="252" spans="11:31" x14ac:dyDescent="0.2">
      <c r="K252" s="439"/>
      <c r="L252" s="439"/>
      <c r="M252" s="439"/>
      <c r="N252" s="439"/>
      <c r="O252" s="514"/>
      <c r="P252" s="439"/>
      <c r="Q252" s="439"/>
      <c r="R252" s="439"/>
      <c r="S252" s="439"/>
      <c r="T252" s="439"/>
      <c r="U252" s="439"/>
      <c r="V252" s="439"/>
      <c r="W252" s="439"/>
      <c r="X252" s="439"/>
      <c r="Y252" s="439"/>
      <c r="Z252" s="439"/>
      <c r="AA252" s="439"/>
      <c r="AB252" s="439"/>
      <c r="AC252" s="439"/>
      <c r="AD252" s="439"/>
      <c r="AE252" s="439"/>
    </row>
    <row r="253" spans="11:31" x14ac:dyDescent="0.2">
      <c r="K253" s="439"/>
      <c r="L253" s="439"/>
      <c r="M253" s="439"/>
      <c r="N253" s="439"/>
      <c r="O253" s="514"/>
      <c r="P253" s="439"/>
      <c r="Q253" s="439"/>
      <c r="R253" s="439"/>
      <c r="S253" s="439"/>
      <c r="T253" s="439"/>
      <c r="U253" s="439"/>
      <c r="V253" s="439"/>
      <c r="W253" s="439"/>
      <c r="X253" s="439"/>
      <c r="Y253" s="439"/>
      <c r="Z253" s="439"/>
      <c r="AA253" s="439"/>
      <c r="AB253" s="439"/>
      <c r="AC253" s="439"/>
      <c r="AD253" s="439"/>
      <c r="AE253" s="439"/>
    </row>
    <row r="254" spans="11:31" x14ac:dyDescent="0.2">
      <c r="K254" s="439"/>
      <c r="L254" s="439"/>
      <c r="M254" s="439"/>
      <c r="N254" s="439"/>
      <c r="O254" s="514"/>
      <c r="P254" s="439"/>
      <c r="Q254" s="439"/>
      <c r="R254" s="439"/>
      <c r="S254" s="439"/>
      <c r="T254" s="439"/>
      <c r="U254" s="439"/>
      <c r="V254" s="439"/>
      <c r="W254" s="439"/>
      <c r="X254" s="439"/>
      <c r="Y254" s="439"/>
      <c r="Z254" s="439"/>
      <c r="AA254" s="439"/>
      <c r="AB254" s="439"/>
      <c r="AC254" s="439"/>
      <c r="AD254" s="439"/>
      <c r="AE254" s="439"/>
    </row>
    <row r="255" spans="11:31" x14ac:dyDescent="0.2">
      <c r="K255" s="439"/>
      <c r="L255" s="439"/>
      <c r="M255" s="439"/>
      <c r="N255" s="439"/>
      <c r="O255" s="514"/>
      <c r="P255" s="439"/>
      <c r="Q255" s="439"/>
      <c r="R255" s="439"/>
      <c r="S255" s="439"/>
      <c r="T255" s="439"/>
      <c r="U255" s="439"/>
      <c r="V255" s="439"/>
      <c r="W255" s="439"/>
      <c r="X255" s="439"/>
      <c r="Y255" s="439"/>
      <c r="Z255" s="439"/>
      <c r="AA255" s="439"/>
      <c r="AB255" s="439"/>
      <c r="AC255" s="439"/>
      <c r="AD255" s="439"/>
      <c r="AE255" s="439"/>
    </row>
    <row r="256" spans="11:31" x14ac:dyDescent="0.2">
      <c r="K256" s="439"/>
      <c r="L256" s="439"/>
      <c r="M256" s="439"/>
      <c r="N256" s="439"/>
      <c r="O256" s="514"/>
      <c r="P256" s="439"/>
      <c r="Q256" s="439"/>
      <c r="R256" s="439"/>
      <c r="S256" s="439"/>
      <c r="T256" s="439"/>
      <c r="U256" s="439"/>
      <c r="V256" s="439"/>
      <c r="W256" s="439"/>
      <c r="X256" s="439"/>
      <c r="Y256" s="439"/>
      <c r="Z256" s="439"/>
      <c r="AA256" s="439"/>
      <c r="AB256" s="439"/>
      <c r="AC256" s="439"/>
      <c r="AD256" s="439"/>
      <c r="AE256" s="439"/>
    </row>
    <row r="257" spans="11:31" x14ac:dyDescent="0.2">
      <c r="K257" s="439"/>
      <c r="L257" s="439"/>
      <c r="M257" s="439"/>
      <c r="N257" s="439"/>
      <c r="O257" s="514"/>
      <c r="P257" s="439"/>
      <c r="Q257" s="439"/>
      <c r="R257" s="439"/>
      <c r="S257" s="439"/>
      <c r="T257" s="439"/>
      <c r="U257" s="439"/>
      <c r="V257" s="439"/>
      <c r="W257" s="439"/>
      <c r="X257" s="439"/>
      <c r="Y257" s="439"/>
      <c r="Z257" s="439"/>
      <c r="AA257" s="439"/>
      <c r="AB257" s="439"/>
      <c r="AC257" s="439"/>
      <c r="AD257" s="439"/>
      <c r="AE257" s="439"/>
    </row>
    <row r="258" spans="11:31" x14ac:dyDescent="0.2">
      <c r="K258" s="439"/>
      <c r="L258" s="439"/>
      <c r="M258" s="439"/>
      <c r="N258" s="439"/>
      <c r="O258" s="514"/>
      <c r="P258" s="439"/>
      <c r="Q258" s="439"/>
      <c r="R258" s="439"/>
      <c r="S258" s="439"/>
      <c r="T258" s="439"/>
      <c r="U258" s="439"/>
      <c r="V258" s="439"/>
      <c r="W258" s="439"/>
      <c r="X258" s="439"/>
      <c r="Y258" s="439"/>
      <c r="Z258" s="439"/>
      <c r="AA258" s="439"/>
      <c r="AB258" s="439"/>
      <c r="AC258" s="439"/>
      <c r="AD258" s="439"/>
      <c r="AE258" s="439"/>
    </row>
    <row r="259" spans="11:31" x14ac:dyDescent="0.2">
      <c r="K259" s="439"/>
      <c r="L259" s="439"/>
      <c r="M259" s="439"/>
      <c r="N259" s="439"/>
      <c r="O259" s="514"/>
      <c r="P259" s="439"/>
      <c r="Q259" s="439"/>
      <c r="R259" s="439"/>
      <c r="S259" s="439"/>
      <c r="T259" s="439"/>
      <c r="U259" s="439"/>
      <c r="V259" s="439"/>
      <c r="W259" s="439"/>
      <c r="X259" s="439"/>
      <c r="Y259" s="439"/>
      <c r="Z259" s="439"/>
      <c r="AA259" s="439"/>
      <c r="AB259" s="439"/>
      <c r="AC259" s="439"/>
      <c r="AD259" s="439"/>
      <c r="AE259" s="439"/>
    </row>
    <row r="260" spans="11:31" x14ac:dyDescent="0.2">
      <c r="K260" s="439"/>
      <c r="L260" s="439"/>
      <c r="M260" s="439"/>
      <c r="N260" s="439"/>
      <c r="O260" s="514"/>
      <c r="P260" s="439"/>
      <c r="Q260" s="439"/>
      <c r="R260" s="439"/>
      <c r="S260" s="439"/>
      <c r="T260" s="439"/>
      <c r="U260" s="439"/>
      <c r="V260" s="439"/>
      <c r="W260" s="439"/>
      <c r="X260" s="439"/>
      <c r="Y260" s="439"/>
      <c r="Z260" s="439"/>
      <c r="AA260" s="439"/>
      <c r="AB260" s="439"/>
      <c r="AC260" s="439"/>
      <c r="AD260" s="439"/>
      <c r="AE260" s="439"/>
    </row>
    <row r="261" spans="11:31" x14ac:dyDescent="0.2">
      <c r="K261" s="439"/>
      <c r="L261" s="439"/>
      <c r="M261" s="439"/>
      <c r="N261" s="439"/>
      <c r="O261" s="514"/>
      <c r="P261" s="439"/>
      <c r="Q261" s="439"/>
      <c r="R261" s="439"/>
      <c r="S261" s="439"/>
      <c r="T261" s="439"/>
      <c r="U261" s="439"/>
      <c r="V261" s="439"/>
      <c r="W261" s="439"/>
      <c r="X261" s="439"/>
      <c r="Y261" s="439"/>
      <c r="Z261" s="439"/>
      <c r="AA261" s="439"/>
      <c r="AB261" s="439"/>
      <c r="AC261" s="439"/>
      <c r="AD261" s="439"/>
      <c r="AE261" s="439"/>
    </row>
    <row r="262" spans="11:31" x14ac:dyDescent="0.2">
      <c r="K262" s="439"/>
      <c r="L262" s="439"/>
      <c r="M262" s="439"/>
      <c r="N262" s="439"/>
      <c r="O262" s="514"/>
      <c r="P262" s="439"/>
      <c r="Q262" s="439"/>
      <c r="R262" s="439"/>
      <c r="S262" s="439"/>
      <c r="T262" s="439"/>
      <c r="U262" s="439"/>
      <c r="V262" s="439"/>
      <c r="W262" s="439"/>
      <c r="X262" s="439"/>
      <c r="Y262" s="439"/>
      <c r="Z262" s="439"/>
      <c r="AA262" s="439"/>
      <c r="AB262" s="439"/>
      <c r="AC262" s="439"/>
      <c r="AD262" s="439"/>
      <c r="AE262" s="439"/>
    </row>
    <row r="263" spans="11:31" x14ac:dyDescent="0.2">
      <c r="K263" s="439"/>
      <c r="L263" s="439"/>
      <c r="M263" s="439"/>
      <c r="N263" s="439"/>
      <c r="O263" s="514"/>
      <c r="P263" s="439"/>
      <c r="Q263" s="439"/>
      <c r="R263" s="439"/>
      <c r="S263" s="439"/>
      <c r="T263" s="439"/>
      <c r="U263" s="439"/>
      <c r="V263" s="439"/>
      <c r="W263" s="439"/>
      <c r="X263" s="439"/>
      <c r="Y263" s="439"/>
      <c r="Z263" s="439"/>
      <c r="AA263" s="439"/>
      <c r="AB263" s="439"/>
      <c r="AC263" s="439"/>
      <c r="AD263" s="439"/>
      <c r="AE263" s="439"/>
    </row>
    <row r="264" spans="11:31" x14ac:dyDescent="0.2">
      <c r="K264" s="439"/>
      <c r="L264" s="439"/>
      <c r="M264" s="439"/>
      <c r="N264" s="439"/>
      <c r="O264" s="514"/>
      <c r="P264" s="439"/>
      <c r="Q264" s="439"/>
      <c r="R264" s="439"/>
      <c r="S264" s="439"/>
      <c r="T264" s="439"/>
      <c r="U264" s="439"/>
      <c r="V264" s="439"/>
      <c r="W264" s="439"/>
      <c r="X264" s="439"/>
      <c r="Y264" s="439"/>
      <c r="Z264" s="439"/>
      <c r="AA264" s="439"/>
      <c r="AB264" s="439"/>
      <c r="AC264" s="439"/>
      <c r="AD264" s="439"/>
      <c r="AE264" s="439"/>
    </row>
    <row r="265" spans="11:31" x14ac:dyDescent="0.2">
      <c r="K265" s="439"/>
      <c r="L265" s="439"/>
      <c r="M265" s="439"/>
      <c r="N265" s="439"/>
      <c r="O265" s="514"/>
      <c r="P265" s="439"/>
      <c r="Q265" s="439"/>
      <c r="R265" s="439"/>
      <c r="S265" s="439"/>
      <c r="T265" s="439"/>
      <c r="U265" s="439"/>
      <c r="V265" s="439"/>
      <c r="W265" s="439"/>
      <c r="X265" s="439"/>
      <c r="Y265" s="439"/>
      <c r="Z265" s="439"/>
      <c r="AA265" s="439"/>
      <c r="AB265" s="439"/>
      <c r="AC265" s="439"/>
      <c r="AD265" s="439"/>
      <c r="AE265" s="439"/>
    </row>
    <row r="266" spans="11:31" x14ac:dyDescent="0.2">
      <c r="K266" s="439"/>
      <c r="L266" s="439"/>
      <c r="M266" s="439"/>
      <c r="N266" s="439"/>
      <c r="O266" s="514"/>
      <c r="P266" s="439"/>
      <c r="Q266" s="439"/>
      <c r="R266" s="439"/>
      <c r="S266" s="439"/>
      <c r="T266" s="439"/>
      <c r="U266" s="439"/>
      <c r="V266" s="439"/>
      <c r="W266" s="439"/>
      <c r="X266" s="439"/>
      <c r="Y266" s="439"/>
      <c r="Z266" s="439"/>
      <c r="AA266" s="439"/>
      <c r="AB266" s="439"/>
      <c r="AC266" s="439"/>
      <c r="AD266" s="439"/>
      <c r="AE266" s="439"/>
    </row>
    <row r="267" spans="11:31" x14ac:dyDescent="0.2">
      <c r="K267" s="439"/>
      <c r="L267" s="439"/>
      <c r="M267" s="439"/>
      <c r="N267" s="439"/>
      <c r="O267" s="514"/>
      <c r="P267" s="439"/>
      <c r="Q267" s="439"/>
      <c r="R267" s="439"/>
      <c r="S267" s="439"/>
      <c r="T267" s="439"/>
      <c r="U267" s="439"/>
      <c r="V267" s="439"/>
      <c r="W267" s="439"/>
      <c r="X267" s="439"/>
      <c r="Y267" s="439"/>
      <c r="Z267" s="439"/>
      <c r="AA267" s="439"/>
      <c r="AB267" s="439"/>
      <c r="AC267" s="439"/>
      <c r="AD267" s="439"/>
      <c r="AE267" s="439"/>
    </row>
    <row r="268" spans="11:31" x14ac:dyDescent="0.2">
      <c r="K268" s="439"/>
      <c r="L268" s="439"/>
      <c r="M268" s="439"/>
      <c r="N268" s="439"/>
      <c r="O268" s="514"/>
      <c r="P268" s="439"/>
      <c r="Q268" s="439"/>
      <c r="R268" s="439"/>
      <c r="S268" s="439"/>
      <c r="T268" s="439"/>
      <c r="U268" s="439"/>
      <c r="V268" s="439"/>
      <c r="W268" s="439"/>
      <c r="X268" s="439"/>
      <c r="Y268" s="439"/>
      <c r="Z268" s="439"/>
      <c r="AA268" s="439"/>
      <c r="AB268" s="439"/>
      <c r="AC268" s="439"/>
      <c r="AD268" s="439"/>
      <c r="AE268" s="439"/>
    </row>
    <row r="269" spans="11:31" x14ac:dyDescent="0.2">
      <c r="K269" s="439"/>
      <c r="L269" s="439"/>
      <c r="M269" s="439"/>
      <c r="N269" s="439"/>
      <c r="O269" s="514"/>
      <c r="P269" s="439"/>
      <c r="Q269" s="439"/>
      <c r="R269" s="439"/>
      <c r="S269" s="439"/>
      <c r="T269" s="439"/>
      <c r="U269" s="439"/>
      <c r="V269" s="439"/>
      <c r="W269" s="439"/>
      <c r="X269" s="439"/>
      <c r="Y269" s="439"/>
      <c r="Z269" s="439"/>
      <c r="AA269" s="439"/>
      <c r="AB269" s="439"/>
      <c r="AC269" s="439"/>
      <c r="AD269" s="439"/>
      <c r="AE269" s="439"/>
    </row>
    <row r="270" spans="11:31" x14ac:dyDescent="0.2">
      <c r="K270" s="439"/>
      <c r="L270" s="439"/>
      <c r="M270" s="439"/>
      <c r="N270" s="439"/>
      <c r="O270" s="514"/>
      <c r="P270" s="439"/>
      <c r="Q270" s="439"/>
      <c r="R270" s="439"/>
      <c r="S270" s="439"/>
      <c r="T270" s="439"/>
      <c r="U270" s="439"/>
      <c r="V270" s="439"/>
      <c r="W270" s="439"/>
      <c r="X270" s="439"/>
      <c r="Y270" s="439"/>
      <c r="Z270" s="439"/>
      <c r="AA270" s="439"/>
      <c r="AB270" s="439"/>
      <c r="AC270" s="439"/>
      <c r="AD270" s="439"/>
      <c r="AE270" s="439"/>
    </row>
    <row r="271" spans="11:31" x14ac:dyDescent="0.2">
      <c r="K271" s="439"/>
      <c r="L271" s="439"/>
      <c r="M271" s="439"/>
      <c r="N271" s="439"/>
      <c r="O271" s="514"/>
      <c r="P271" s="439"/>
      <c r="Q271" s="439"/>
      <c r="R271" s="439"/>
      <c r="S271" s="439"/>
      <c r="T271" s="439"/>
      <c r="U271" s="439"/>
      <c r="V271" s="439"/>
      <c r="W271" s="439"/>
      <c r="X271" s="439"/>
      <c r="Y271" s="439"/>
      <c r="Z271" s="439"/>
      <c r="AA271" s="439"/>
      <c r="AB271" s="439"/>
      <c r="AC271" s="439"/>
      <c r="AD271" s="439"/>
      <c r="AE271" s="439"/>
    </row>
    <row r="272" spans="11:31" x14ac:dyDescent="0.2">
      <c r="K272" s="439"/>
      <c r="L272" s="439"/>
      <c r="M272" s="439"/>
      <c r="N272" s="439"/>
      <c r="O272" s="514"/>
      <c r="P272" s="439"/>
      <c r="Q272" s="439"/>
      <c r="R272" s="439"/>
      <c r="S272" s="439"/>
      <c r="T272" s="439"/>
      <c r="U272" s="439"/>
      <c r="V272" s="439"/>
      <c r="W272" s="439"/>
      <c r="X272" s="439"/>
      <c r="Y272" s="439"/>
      <c r="Z272" s="439"/>
      <c r="AA272" s="439"/>
      <c r="AB272" s="439"/>
      <c r="AC272" s="439"/>
      <c r="AD272" s="439"/>
      <c r="AE272" s="439"/>
    </row>
    <row r="273" spans="11:31" x14ac:dyDescent="0.2">
      <c r="K273" s="439"/>
      <c r="L273" s="439"/>
      <c r="M273" s="439"/>
      <c r="N273" s="439"/>
      <c r="O273" s="514"/>
      <c r="P273" s="439"/>
      <c r="Q273" s="439"/>
      <c r="R273" s="439"/>
      <c r="S273" s="439"/>
      <c r="T273" s="439"/>
      <c r="U273" s="439"/>
      <c r="V273" s="439"/>
      <c r="W273" s="439"/>
      <c r="X273" s="439"/>
      <c r="Y273" s="439"/>
      <c r="Z273" s="439"/>
      <c r="AA273" s="439"/>
      <c r="AB273" s="439"/>
      <c r="AC273" s="439"/>
      <c r="AD273" s="439"/>
      <c r="AE273" s="439"/>
    </row>
    <row r="274" spans="11:31" x14ac:dyDescent="0.2">
      <c r="K274" s="439"/>
      <c r="L274" s="439"/>
      <c r="M274" s="439"/>
      <c r="N274" s="439"/>
      <c r="O274" s="514"/>
      <c r="P274" s="439"/>
      <c r="Q274" s="439"/>
      <c r="R274" s="439"/>
      <c r="S274" s="439"/>
      <c r="T274" s="439"/>
      <c r="U274" s="439"/>
      <c r="V274" s="439"/>
      <c r="W274" s="439"/>
      <c r="X274" s="439"/>
      <c r="Y274" s="439"/>
      <c r="Z274" s="439"/>
      <c r="AA274" s="439"/>
      <c r="AB274" s="439"/>
      <c r="AC274" s="439"/>
      <c r="AD274" s="439"/>
      <c r="AE274" s="439"/>
    </row>
    <row r="275" spans="11:31" x14ac:dyDescent="0.2">
      <c r="K275" s="439"/>
      <c r="L275" s="439"/>
      <c r="M275" s="439"/>
      <c r="N275" s="439"/>
      <c r="O275" s="514"/>
      <c r="P275" s="439"/>
      <c r="Q275" s="439"/>
      <c r="R275" s="439"/>
      <c r="S275" s="439"/>
      <c r="T275" s="439"/>
      <c r="U275" s="439"/>
      <c r="V275" s="439"/>
      <c r="W275" s="439"/>
      <c r="X275" s="439"/>
      <c r="Y275" s="439"/>
      <c r="Z275" s="439"/>
      <c r="AA275" s="439"/>
      <c r="AB275" s="439"/>
      <c r="AC275" s="439"/>
      <c r="AD275" s="439"/>
      <c r="AE275" s="439"/>
    </row>
    <row r="276" spans="11:31" x14ac:dyDescent="0.2">
      <c r="K276" s="439"/>
      <c r="L276" s="439"/>
      <c r="M276" s="439"/>
      <c r="N276" s="439"/>
      <c r="O276" s="514"/>
      <c r="P276" s="439"/>
      <c r="Q276" s="439"/>
      <c r="R276" s="439"/>
      <c r="S276" s="439"/>
      <c r="T276" s="439"/>
      <c r="U276" s="439"/>
      <c r="V276" s="439"/>
      <c r="W276" s="439"/>
      <c r="X276" s="439"/>
      <c r="Y276" s="439"/>
      <c r="Z276" s="439"/>
      <c r="AA276" s="439"/>
      <c r="AB276" s="439"/>
      <c r="AC276" s="439"/>
      <c r="AD276" s="439"/>
      <c r="AE276" s="439"/>
    </row>
    <row r="277" spans="11:31" x14ac:dyDescent="0.2">
      <c r="K277" s="439"/>
      <c r="L277" s="439"/>
      <c r="M277" s="439"/>
      <c r="N277" s="439"/>
      <c r="O277" s="514"/>
      <c r="P277" s="439"/>
      <c r="Q277" s="439"/>
      <c r="R277" s="439"/>
      <c r="S277" s="439"/>
      <c r="T277" s="439"/>
      <c r="U277" s="439"/>
      <c r="V277" s="439"/>
      <c r="W277" s="439"/>
      <c r="X277" s="439"/>
      <c r="Y277" s="439"/>
      <c r="Z277" s="439"/>
      <c r="AA277" s="439"/>
      <c r="AB277" s="439"/>
      <c r="AC277" s="439"/>
      <c r="AD277" s="439"/>
      <c r="AE277" s="439"/>
    </row>
    <row r="278" spans="11:31" x14ac:dyDescent="0.2">
      <c r="K278" s="439"/>
      <c r="L278" s="439"/>
      <c r="M278" s="439"/>
      <c r="N278" s="439"/>
      <c r="O278" s="514"/>
      <c r="P278" s="439"/>
      <c r="Q278" s="439"/>
      <c r="R278" s="439"/>
      <c r="S278" s="439"/>
      <c r="T278" s="439"/>
      <c r="U278" s="439"/>
      <c r="V278" s="439"/>
      <c r="W278" s="439"/>
      <c r="X278" s="439"/>
      <c r="Y278" s="439"/>
      <c r="Z278" s="439"/>
      <c r="AA278" s="439"/>
      <c r="AB278" s="439"/>
      <c r="AC278" s="439"/>
      <c r="AD278" s="439"/>
      <c r="AE278" s="439"/>
    </row>
    <row r="279" spans="11:31" x14ac:dyDescent="0.2">
      <c r="K279" s="439"/>
      <c r="L279" s="439"/>
      <c r="M279" s="439"/>
      <c r="N279" s="439"/>
      <c r="O279" s="514"/>
      <c r="P279" s="439"/>
      <c r="Q279" s="439"/>
      <c r="R279" s="439"/>
      <c r="S279" s="439"/>
      <c r="T279" s="439"/>
      <c r="U279" s="439"/>
      <c r="V279" s="439"/>
      <c r="W279" s="439"/>
      <c r="X279" s="439"/>
      <c r="Y279" s="439"/>
      <c r="Z279" s="439"/>
      <c r="AA279" s="439"/>
      <c r="AB279" s="439"/>
      <c r="AC279" s="439"/>
      <c r="AD279" s="439"/>
      <c r="AE279" s="439"/>
    </row>
    <row r="280" spans="11:31" x14ac:dyDescent="0.2">
      <c r="K280" s="439"/>
      <c r="L280" s="439"/>
      <c r="M280" s="439"/>
      <c r="N280" s="439"/>
      <c r="O280" s="514"/>
      <c r="P280" s="439"/>
      <c r="Q280" s="439"/>
      <c r="R280" s="439"/>
      <c r="S280" s="439"/>
      <c r="T280" s="439"/>
      <c r="U280" s="439"/>
      <c r="V280" s="439"/>
      <c r="W280" s="439"/>
      <c r="X280" s="439"/>
      <c r="Y280" s="439"/>
      <c r="Z280" s="439"/>
      <c r="AA280" s="439"/>
      <c r="AB280" s="439"/>
      <c r="AC280" s="439"/>
      <c r="AD280" s="439"/>
      <c r="AE280" s="439"/>
    </row>
    <row r="281" spans="11:31" x14ac:dyDescent="0.2">
      <c r="K281" s="439"/>
      <c r="L281" s="439"/>
      <c r="M281" s="439"/>
      <c r="N281" s="439"/>
      <c r="O281" s="514"/>
      <c r="P281" s="439"/>
      <c r="Q281" s="439"/>
      <c r="R281" s="439"/>
      <c r="S281" s="439"/>
      <c r="T281" s="439"/>
      <c r="U281" s="439"/>
      <c r="V281" s="439"/>
      <c r="W281" s="439"/>
      <c r="X281" s="439"/>
      <c r="Y281" s="439"/>
      <c r="Z281" s="439"/>
      <c r="AA281" s="439"/>
      <c r="AB281" s="439"/>
      <c r="AC281" s="439"/>
      <c r="AD281" s="439"/>
      <c r="AE281" s="439"/>
    </row>
    <row r="282" spans="11:31" x14ac:dyDescent="0.2">
      <c r="K282" s="439"/>
      <c r="L282" s="439"/>
      <c r="M282" s="439"/>
      <c r="N282" s="439"/>
      <c r="O282" s="514"/>
      <c r="P282" s="439"/>
      <c r="Q282" s="439"/>
      <c r="R282" s="439"/>
      <c r="S282" s="439"/>
      <c r="T282" s="439"/>
      <c r="U282" s="439"/>
      <c r="V282" s="439"/>
      <c r="W282" s="439"/>
      <c r="X282" s="439"/>
      <c r="Y282" s="439"/>
      <c r="Z282" s="439"/>
      <c r="AA282" s="439"/>
      <c r="AB282" s="439"/>
      <c r="AC282" s="439"/>
      <c r="AD282" s="439"/>
      <c r="AE282" s="439"/>
    </row>
    <row r="283" spans="11:31" x14ac:dyDescent="0.2">
      <c r="K283" s="439"/>
      <c r="L283" s="439"/>
      <c r="M283" s="439"/>
      <c r="N283" s="439"/>
      <c r="O283" s="514"/>
      <c r="P283" s="439"/>
      <c r="Q283" s="439"/>
      <c r="R283" s="439"/>
      <c r="S283" s="439"/>
      <c r="T283" s="439"/>
      <c r="U283" s="439"/>
      <c r="V283" s="439"/>
      <c r="W283" s="439"/>
      <c r="X283" s="439"/>
      <c r="Y283" s="439"/>
      <c r="Z283" s="439"/>
      <c r="AA283" s="439"/>
      <c r="AB283" s="439"/>
      <c r="AC283" s="439"/>
      <c r="AD283" s="439"/>
      <c r="AE283" s="439"/>
    </row>
    <row r="284" spans="11:31" x14ac:dyDescent="0.2">
      <c r="K284" s="439"/>
      <c r="L284" s="439"/>
      <c r="M284" s="439"/>
      <c r="N284" s="439"/>
      <c r="O284" s="514"/>
      <c r="P284" s="439"/>
      <c r="Q284" s="439"/>
      <c r="R284" s="439"/>
      <c r="S284" s="439"/>
      <c r="T284" s="439"/>
      <c r="U284" s="439"/>
      <c r="V284" s="439"/>
      <c r="W284" s="439"/>
      <c r="X284" s="439"/>
      <c r="Y284" s="439"/>
      <c r="Z284" s="439"/>
      <c r="AA284" s="439"/>
      <c r="AB284" s="439"/>
      <c r="AC284" s="439"/>
      <c r="AD284" s="439"/>
      <c r="AE284" s="439"/>
    </row>
    <row r="285" spans="11:31" x14ac:dyDescent="0.2">
      <c r="K285" s="439"/>
      <c r="L285" s="439"/>
      <c r="M285" s="439"/>
      <c r="N285" s="439"/>
      <c r="O285" s="514"/>
      <c r="P285" s="439"/>
      <c r="Q285" s="439"/>
      <c r="R285" s="439"/>
      <c r="S285" s="439"/>
      <c r="T285" s="439"/>
      <c r="U285" s="439"/>
      <c r="V285" s="439"/>
      <c r="W285" s="439"/>
      <c r="X285" s="439"/>
      <c r="Y285" s="439"/>
      <c r="Z285" s="439"/>
      <c r="AA285" s="439"/>
      <c r="AB285" s="439"/>
      <c r="AC285" s="439"/>
      <c r="AD285" s="439"/>
      <c r="AE285" s="439"/>
    </row>
    <row r="286" spans="11:31" x14ac:dyDescent="0.2">
      <c r="K286" s="439"/>
      <c r="L286" s="439"/>
      <c r="M286" s="439"/>
      <c r="N286" s="439"/>
      <c r="O286" s="514"/>
      <c r="P286" s="439"/>
      <c r="Q286" s="439"/>
      <c r="R286" s="439"/>
      <c r="S286" s="439"/>
      <c r="T286" s="439"/>
      <c r="U286" s="439"/>
      <c r="V286" s="439"/>
      <c r="W286" s="439"/>
      <c r="X286" s="439"/>
      <c r="Y286" s="439"/>
      <c r="Z286" s="439"/>
      <c r="AA286" s="439"/>
      <c r="AB286" s="439"/>
      <c r="AC286" s="439"/>
      <c r="AD286" s="439"/>
      <c r="AE286" s="439"/>
    </row>
    <row r="287" spans="11:31" x14ac:dyDescent="0.2">
      <c r="K287" s="439"/>
      <c r="L287" s="439"/>
      <c r="M287" s="439"/>
      <c r="N287" s="439"/>
      <c r="O287" s="514"/>
      <c r="P287" s="439"/>
      <c r="Q287" s="439"/>
      <c r="R287" s="439"/>
      <c r="S287" s="439"/>
      <c r="T287" s="439"/>
      <c r="U287" s="439"/>
      <c r="V287" s="439"/>
      <c r="W287" s="439"/>
      <c r="X287" s="439"/>
      <c r="Y287" s="439"/>
      <c r="Z287" s="439"/>
      <c r="AA287" s="439"/>
      <c r="AB287" s="439"/>
      <c r="AC287" s="439"/>
      <c r="AD287" s="439"/>
      <c r="AE287" s="439"/>
    </row>
    <row r="288" spans="11:31" x14ac:dyDescent="0.2">
      <c r="K288" s="439"/>
      <c r="L288" s="439"/>
      <c r="M288" s="439"/>
      <c r="N288" s="439"/>
      <c r="O288" s="514"/>
      <c r="P288" s="439"/>
      <c r="Q288" s="439"/>
      <c r="R288" s="439"/>
      <c r="S288" s="439"/>
      <c r="T288" s="439"/>
      <c r="U288" s="439"/>
      <c r="V288" s="439"/>
      <c r="W288" s="439"/>
      <c r="X288" s="439"/>
      <c r="Y288" s="439"/>
      <c r="Z288" s="439"/>
      <c r="AA288" s="439"/>
      <c r="AB288" s="439"/>
      <c r="AC288" s="439"/>
      <c r="AD288" s="439"/>
      <c r="AE288" s="439"/>
    </row>
    <row r="289" spans="11:31" x14ac:dyDescent="0.2">
      <c r="K289" s="439"/>
      <c r="L289" s="439"/>
      <c r="M289" s="439"/>
      <c r="N289" s="439"/>
      <c r="O289" s="514"/>
      <c r="P289" s="439"/>
      <c r="Q289" s="439"/>
      <c r="R289" s="439"/>
      <c r="S289" s="439"/>
      <c r="T289" s="439"/>
      <c r="U289" s="439"/>
      <c r="V289" s="439"/>
      <c r="W289" s="439"/>
      <c r="X289" s="439"/>
      <c r="Y289" s="439"/>
      <c r="Z289" s="439"/>
      <c r="AA289" s="439"/>
      <c r="AB289" s="439"/>
      <c r="AC289" s="439"/>
      <c r="AD289" s="439"/>
      <c r="AE289" s="439"/>
    </row>
    <row r="290" spans="11:31" x14ac:dyDescent="0.2">
      <c r="K290" s="439"/>
      <c r="L290" s="439"/>
      <c r="M290" s="439"/>
      <c r="N290" s="439"/>
      <c r="O290" s="514"/>
      <c r="P290" s="439"/>
      <c r="Q290" s="439"/>
      <c r="R290" s="439"/>
      <c r="S290" s="439"/>
      <c r="T290" s="439"/>
      <c r="U290" s="439"/>
      <c r="V290" s="439"/>
      <c r="W290" s="439"/>
      <c r="X290" s="439"/>
      <c r="Y290" s="439"/>
      <c r="Z290" s="439"/>
      <c r="AA290" s="439"/>
      <c r="AB290" s="439"/>
      <c r="AC290" s="439"/>
      <c r="AD290" s="439"/>
      <c r="AE290" s="439"/>
    </row>
    <row r="291" spans="11:31" x14ac:dyDescent="0.2">
      <c r="K291" s="439"/>
      <c r="L291" s="439"/>
      <c r="M291" s="439"/>
      <c r="N291" s="439"/>
      <c r="O291" s="514"/>
      <c r="P291" s="439"/>
      <c r="Q291" s="439"/>
      <c r="R291" s="439"/>
      <c r="S291" s="439"/>
      <c r="T291" s="439"/>
      <c r="U291" s="439"/>
      <c r="V291" s="439"/>
      <c r="W291" s="439"/>
      <c r="X291" s="439"/>
      <c r="Y291" s="439"/>
      <c r="Z291" s="439"/>
      <c r="AA291" s="439"/>
      <c r="AB291" s="439"/>
      <c r="AC291" s="439"/>
      <c r="AD291" s="439"/>
      <c r="AE291" s="439"/>
    </row>
    <row r="292" spans="11:31" x14ac:dyDescent="0.2">
      <c r="K292" s="439"/>
      <c r="L292" s="439"/>
      <c r="M292" s="439"/>
      <c r="N292" s="439"/>
      <c r="O292" s="514"/>
      <c r="P292" s="439"/>
      <c r="Q292" s="439"/>
      <c r="R292" s="439"/>
      <c r="S292" s="439"/>
      <c r="T292" s="439"/>
      <c r="U292" s="439"/>
      <c r="V292" s="439"/>
      <c r="W292" s="439"/>
      <c r="X292" s="439"/>
      <c r="Y292" s="439"/>
      <c r="Z292" s="439"/>
      <c r="AA292" s="439"/>
      <c r="AB292" s="439"/>
      <c r="AC292" s="439"/>
      <c r="AD292" s="439"/>
      <c r="AE292" s="439"/>
    </row>
    <row r="293" spans="11:31" x14ac:dyDescent="0.2">
      <c r="K293" s="439"/>
      <c r="L293" s="439"/>
      <c r="M293" s="439"/>
      <c r="N293" s="439"/>
      <c r="O293" s="514"/>
      <c r="P293" s="439"/>
      <c r="Q293" s="439"/>
      <c r="R293" s="439"/>
      <c r="S293" s="439"/>
      <c r="T293" s="439"/>
      <c r="U293" s="439"/>
      <c r="V293" s="439"/>
      <c r="W293" s="439"/>
      <c r="X293" s="439"/>
      <c r="Y293" s="439"/>
      <c r="Z293" s="439"/>
      <c r="AA293" s="439"/>
      <c r="AB293" s="439"/>
      <c r="AC293" s="439"/>
      <c r="AD293" s="439"/>
      <c r="AE293" s="439"/>
    </row>
    <row r="294" spans="11:31" x14ac:dyDescent="0.2">
      <c r="K294" s="439"/>
      <c r="L294" s="439"/>
      <c r="M294" s="439"/>
      <c r="N294" s="439"/>
      <c r="O294" s="514"/>
      <c r="P294" s="439"/>
      <c r="Q294" s="439"/>
      <c r="R294" s="439"/>
      <c r="S294" s="439"/>
      <c r="T294" s="439"/>
      <c r="U294" s="439"/>
      <c r="V294" s="439"/>
      <c r="W294" s="439"/>
      <c r="X294" s="439"/>
      <c r="Y294" s="439"/>
      <c r="Z294" s="439"/>
      <c r="AA294" s="439"/>
      <c r="AB294" s="439"/>
      <c r="AC294" s="439"/>
      <c r="AD294" s="439"/>
      <c r="AE294" s="439"/>
    </row>
    <row r="295" spans="11:31" x14ac:dyDescent="0.2">
      <c r="K295" s="439"/>
      <c r="L295" s="439"/>
      <c r="M295" s="439"/>
      <c r="N295" s="439"/>
      <c r="O295" s="514"/>
      <c r="P295" s="439"/>
      <c r="Q295" s="439"/>
      <c r="R295" s="439"/>
      <c r="S295" s="439"/>
      <c r="T295" s="439"/>
      <c r="U295" s="439"/>
      <c r="V295" s="439"/>
      <c r="W295" s="439"/>
      <c r="X295" s="439"/>
      <c r="Y295" s="439"/>
      <c r="Z295" s="439"/>
      <c r="AA295" s="439"/>
      <c r="AB295" s="439"/>
      <c r="AC295" s="439"/>
      <c r="AD295" s="439"/>
      <c r="AE295" s="439"/>
    </row>
    <row r="296" spans="11:31" x14ac:dyDescent="0.2">
      <c r="K296" s="439"/>
      <c r="L296" s="439"/>
      <c r="M296" s="439"/>
      <c r="N296" s="439"/>
      <c r="O296" s="514"/>
      <c r="P296" s="439"/>
      <c r="Q296" s="439"/>
      <c r="R296" s="439"/>
      <c r="S296" s="439"/>
      <c r="T296" s="439"/>
      <c r="U296" s="439"/>
      <c r="V296" s="439"/>
      <c r="W296" s="439"/>
      <c r="X296" s="439"/>
      <c r="Y296" s="439"/>
      <c r="Z296" s="439"/>
      <c r="AA296" s="439"/>
      <c r="AB296" s="439"/>
      <c r="AC296" s="439"/>
      <c r="AD296" s="439"/>
      <c r="AE296" s="439"/>
    </row>
    <row r="297" spans="11:31" x14ac:dyDescent="0.2">
      <c r="K297" s="439"/>
      <c r="L297" s="439"/>
      <c r="M297" s="439"/>
      <c r="N297" s="439"/>
      <c r="O297" s="514"/>
      <c r="P297" s="439"/>
      <c r="Q297" s="439"/>
      <c r="R297" s="439"/>
      <c r="S297" s="439"/>
      <c r="T297" s="439"/>
      <c r="U297" s="439"/>
      <c r="V297" s="439"/>
      <c r="W297" s="439"/>
      <c r="X297" s="439"/>
      <c r="Y297" s="439"/>
      <c r="Z297" s="439"/>
      <c r="AA297" s="439"/>
      <c r="AB297" s="439"/>
      <c r="AC297" s="439"/>
      <c r="AD297" s="439"/>
      <c r="AE297" s="439"/>
    </row>
    <row r="298" spans="11:31" x14ac:dyDescent="0.2">
      <c r="K298" s="439"/>
      <c r="L298" s="439"/>
      <c r="M298" s="439"/>
      <c r="N298" s="439"/>
      <c r="O298" s="514"/>
      <c r="P298" s="439"/>
      <c r="Q298" s="439"/>
      <c r="R298" s="439"/>
      <c r="S298" s="439"/>
      <c r="T298" s="439"/>
      <c r="U298" s="439"/>
      <c r="V298" s="439"/>
      <c r="W298" s="439"/>
      <c r="X298" s="439"/>
      <c r="Y298" s="439"/>
      <c r="Z298" s="439"/>
      <c r="AA298" s="439"/>
      <c r="AB298" s="439"/>
      <c r="AC298" s="439"/>
      <c r="AD298" s="439"/>
      <c r="AE298" s="439"/>
    </row>
    <row r="299" spans="11:31" x14ac:dyDescent="0.2">
      <c r="K299" s="439"/>
      <c r="L299" s="439"/>
      <c r="M299" s="439"/>
      <c r="N299" s="439"/>
      <c r="O299" s="514"/>
      <c r="P299" s="439"/>
      <c r="Q299" s="439"/>
      <c r="R299" s="439"/>
      <c r="S299" s="439"/>
      <c r="T299" s="439"/>
      <c r="U299" s="439"/>
      <c r="V299" s="439"/>
      <c r="W299" s="439"/>
      <c r="X299" s="439"/>
      <c r="Y299" s="439"/>
      <c r="Z299" s="439"/>
      <c r="AA299" s="439"/>
      <c r="AB299" s="439"/>
      <c r="AC299" s="439"/>
      <c r="AD299" s="439"/>
      <c r="AE299" s="439"/>
    </row>
    <row r="300" spans="11:31" x14ac:dyDescent="0.2">
      <c r="K300" s="439"/>
      <c r="L300" s="439"/>
      <c r="M300" s="439"/>
      <c r="N300" s="439"/>
      <c r="O300" s="514"/>
      <c r="P300" s="439"/>
      <c r="Q300" s="439"/>
      <c r="R300" s="439"/>
      <c r="S300" s="439"/>
      <c r="T300" s="439"/>
      <c r="U300" s="439"/>
      <c r="V300" s="439"/>
      <c r="W300" s="439"/>
      <c r="X300" s="439"/>
      <c r="Y300" s="439"/>
      <c r="Z300" s="439"/>
      <c r="AA300" s="439"/>
      <c r="AB300" s="439"/>
      <c r="AC300" s="439"/>
      <c r="AD300" s="439"/>
      <c r="AE300" s="439"/>
    </row>
    <row r="301" spans="11:31" x14ac:dyDescent="0.2">
      <c r="K301" s="439"/>
      <c r="L301" s="439"/>
      <c r="M301" s="439"/>
      <c r="N301" s="439"/>
      <c r="O301" s="514"/>
      <c r="P301" s="439"/>
      <c r="Q301" s="439"/>
      <c r="R301" s="439"/>
      <c r="S301" s="439"/>
      <c r="T301" s="439"/>
      <c r="U301" s="439"/>
      <c r="V301" s="439"/>
      <c r="W301" s="439"/>
      <c r="X301" s="439"/>
      <c r="Y301" s="439"/>
      <c r="Z301" s="439"/>
      <c r="AA301" s="439"/>
      <c r="AB301" s="439"/>
      <c r="AC301" s="439"/>
      <c r="AD301" s="439"/>
      <c r="AE301" s="439"/>
    </row>
    <row r="302" spans="11:31" x14ac:dyDescent="0.2">
      <c r="K302" s="439"/>
      <c r="L302" s="439"/>
      <c r="M302" s="439"/>
      <c r="N302" s="439"/>
      <c r="O302" s="514"/>
      <c r="P302" s="439"/>
      <c r="Q302" s="439"/>
      <c r="R302" s="439"/>
      <c r="S302" s="439"/>
      <c r="T302" s="439"/>
      <c r="U302" s="439"/>
      <c r="V302" s="439"/>
      <c r="W302" s="439"/>
      <c r="X302" s="439"/>
      <c r="Y302" s="439"/>
      <c r="Z302" s="439"/>
      <c r="AA302" s="439"/>
      <c r="AB302" s="439"/>
      <c r="AC302" s="439"/>
      <c r="AD302" s="439"/>
      <c r="AE302" s="439"/>
    </row>
    <row r="303" spans="11:31" x14ac:dyDescent="0.2">
      <c r="K303" s="439"/>
      <c r="L303" s="439"/>
      <c r="M303" s="439"/>
      <c r="N303" s="439"/>
      <c r="O303" s="514"/>
      <c r="P303" s="439"/>
      <c r="Q303" s="439"/>
      <c r="R303" s="439"/>
      <c r="S303" s="439"/>
      <c r="T303" s="439"/>
      <c r="U303" s="439"/>
      <c r="V303" s="439"/>
      <c r="W303" s="439"/>
      <c r="X303" s="439"/>
      <c r="Y303" s="439"/>
      <c r="Z303" s="439"/>
      <c r="AA303" s="439"/>
      <c r="AB303" s="439"/>
      <c r="AC303" s="439"/>
      <c r="AD303" s="439"/>
      <c r="AE303" s="439"/>
    </row>
    <row r="304" spans="11:31" x14ac:dyDescent="0.2">
      <c r="K304" s="439"/>
      <c r="L304" s="439"/>
      <c r="M304" s="439"/>
      <c r="N304" s="439"/>
      <c r="O304" s="514"/>
      <c r="P304" s="439"/>
      <c r="Q304" s="439"/>
      <c r="R304" s="439"/>
      <c r="S304" s="439"/>
      <c r="T304" s="439"/>
      <c r="U304" s="439"/>
      <c r="V304" s="439"/>
      <c r="W304" s="439"/>
      <c r="X304" s="439"/>
      <c r="Y304" s="439"/>
      <c r="Z304" s="439"/>
      <c r="AA304" s="439"/>
      <c r="AB304" s="439"/>
      <c r="AC304" s="439"/>
      <c r="AD304" s="439"/>
      <c r="AE304" s="439"/>
    </row>
    <row r="305" spans="11:31" x14ac:dyDescent="0.2">
      <c r="K305" s="439"/>
      <c r="L305" s="439"/>
      <c r="M305" s="439"/>
      <c r="N305" s="439"/>
      <c r="O305" s="514"/>
      <c r="P305" s="439"/>
      <c r="Q305" s="439"/>
      <c r="R305" s="439"/>
      <c r="S305" s="439"/>
      <c r="T305" s="439"/>
      <c r="U305" s="439"/>
      <c r="V305" s="439"/>
      <c r="W305" s="439"/>
      <c r="X305" s="439"/>
      <c r="Y305" s="439"/>
      <c r="Z305" s="439"/>
      <c r="AA305" s="439"/>
      <c r="AB305" s="439"/>
      <c r="AC305" s="439"/>
      <c r="AD305" s="439"/>
      <c r="AE305" s="439"/>
    </row>
    <row r="306" spans="11:31" x14ac:dyDescent="0.2">
      <c r="K306" s="439"/>
      <c r="L306" s="439"/>
      <c r="M306" s="439"/>
      <c r="N306" s="439"/>
      <c r="O306" s="514"/>
      <c r="P306" s="439"/>
      <c r="Q306" s="439"/>
      <c r="R306" s="439"/>
      <c r="S306" s="439"/>
      <c r="T306" s="439"/>
      <c r="U306" s="439"/>
      <c r="V306" s="439"/>
      <c r="W306" s="439"/>
      <c r="X306" s="439"/>
      <c r="Y306" s="439"/>
      <c r="Z306" s="439"/>
      <c r="AA306" s="439"/>
      <c r="AB306" s="439"/>
      <c r="AC306" s="439"/>
      <c r="AD306" s="439"/>
      <c r="AE306" s="439"/>
    </row>
    <row r="307" spans="11:31" x14ac:dyDescent="0.2">
      <c r="K307" s="439"/>
      <c r="L307" s="439"/>
      <c r="M307" s="439"/>
      <c r="N307" s="439"/>
      <c r="O307" s="514"/>
      <c r="P307" s="439"/>
      <c r="Q307" s="439"/>
      <c r="R307" s="439"/>
      <c r="S307" s="439"/>
      <c r="T307" s="439"/>
      <c r="U307" s="439"/>
      <c r="V307" s="439"/>
      <c r="W307" s="439"/>
      <c r="X307" s="439"/>
      <c r="Y307" s="439"/>
      <c r="Z307" s="439"/>
      <c r="AA307" s="439"/>
      <c r="AB307" s="439"/>
      <c r="AC307" s="439"/>
      <c r="AD307" s="439"/>
      <c r="AE307" s="439"/>
    </row>
    <row r="308" spans="11:31" x14ac:dyDescent="0.2">
      <c r="K308" s="439"/>
      <c r="L308" s="439"/>
      <c r="M308" s="439"/>
      <c r="N308" s="439"/>
      <c r="O308" s="514"/>
      <c r="P308" s="439"/>
      <c r="Q308" s="439"/>
      <c r="R308" s="439"/>
      <c r="S308" s="439"/>
      <c r="T308" s="439"/>
      <c r="U308" s="439"/>
      <c r="V308" s="439"/>
      <c r="W308" s="439"/>
      <c r="X308" s="439"/>
      <c r="Y308" s="439"/>
      <c r="Z308" s="439"/>
      <c r="AA308" s="439"/>
      <c r="AB308" s="439"/>
      <c r="AC308" s="439"/>
      <c r="AD308" s="439"/>
      <c r="AE308" s="439"/>
    </row>
    <row r="309" spans="11:31" x14ac:dyDescent="0.2">
      <c r="K309" s="439"/>
      <c r="L309" s="439"/>
      <c r="M309" s="439"/>
      <c r="N309" s="439"/>
      <c r="O309" s="514"/>
      <c r="P309" s="439"/>
      <c r="Q309" s="439"/>
      <c r="R309" s="439"/>
      <c r="S309" s="439"/>
      <c r="T309" s="439"/>
      <c r="U309" s="439"/>
      <c r="V309" s="439"/>
      <c r="W309" s="439"/>
      <c r="X309" s="439"/>
      <c r="Y309" s="439"/>
      <c r="Z309" s="439"/>
      <c r="AA309" s="439"/>
      <c r="AB309" s="439"/>
      <c r="AC309" s="439"/>
      <c r="AD309" s="439"/>
      <c r="AE309" s="439"/>
    </row>
    <row r="310" spans="11:31" x14ac:dyDescent="0.2">
      <c r="K310" s="439"/>
      <c r="L310" s="439"/>
      <c r="M310" s="439"/>
      <c r="N310" s="439"/>
      <c r="O310" s="514"/>
      <c r="P310" s="439"/>
      <c r="Q310" s="439"/>
      <c r="R310" s="439"/>
      <c r="S310" s="439"/>
      <c r="T310" s="439"/>
      <c r="U310" s="439"/>
      <c r="V310" s="439"/>
      <c r="W310" s="439"/>
      <c r="X310" s="439"/>
      <c r="Y310" s="439"/>
      <c r="Z310" s="439"/>
      <c r="AA310" s="439"/>
      <c r="AB310" s="439"/>
      <c r="AC310" s="439"/>
      <c r="AD310" s="439"/>
      <c r="AE310" s="439"/>
    </row>
    <row r="311" spans="11:31" x14ac:dyDescent="0.2">
      <c r="K311" s="439"/>
      <c r="L311" s="439"/>
      <c r="M311" s="439"/>
      <c r="N311" s="439"/>
      <c r="O311" s="514"/>
      <c r="P311" s="439"/>
      <c r="Q311" s="439"/>
      <c r="R311" s="439"/>
      <c r="S311" s="439"/>
      <c r="T311" s="439"/>
      <c r="U311" s="439"/>
      <c r="V311" s="439"/>
      <c r="W311" s="439"/>
      <c r="X311" s="439"/>
      <c r="Y311" s="439"/>
      <c r="Z311" s="439"/>
      <c r="AA311" s="439"/>
      <c r="AB311" s="439"/>
      <c r="AC311" s="439"/>
      <c r="AD311" s="439"/>
      <c r="AE311" s="439"/>
    </row>
  </sheetData>
  <autoFilter ref="H23:H65" xr:uid="{00000000-0009-0000-0000-000000000000}"/>
  <mergeCells count="68">
    <mergeCell ref="A111:G111"/>
    <mergeCell ref="Q81:S81"/>
    <mergeCell ref="F12:G12"/>
    <mergeCell ref="A112:G112"/>
    <mergeCell ref="A105:G105"/>
    <mergeCell ref="A95:G95"/>
    <mergeCell ref="A96:G96"/>
    <mergeCell ref="A97:G97"/>
    <mergeCell ref="A98:G98"/>
    <mergeCell ref="A99:G99"/>
    <mergeCell ref="A100:G100"/>
    <mergeCell ref="A101:G101"/>
    <mergeCell ref="A102:G102"/>
    <mergeCell ref="A103:G103"/>
    <mergeCell ref="A104:G104"/>
    <mergeCell ref="A94:G94"/>
    <mergeCell ref="A106:G106"/>
    <mergeCell ref="A107:G107"/>
    <mergeCell ref="A108:G108"/>
    <mergeCell ref="A109:G109"/>
    <mergeCell ref="A110:G110"/>
    <mergeCell ref="A91:G91"/>
    <mergeCell ref="A92:G92"/>
    <mergeCell ref="B77:C77"/>
    <mergeCell ref="L81:N81"/>
    <mergeCell ref="A83:G83"/>
    <mergeCell ref="A84:G84"/>
    <mergeCell ref="A85:G85"/>
    <mergeCell ref="A93:G93"/>
    <mergeCell ref="B76:C76"/>
    <mergeCell ref="A26:F26"/>
    <mergeCell ref="A37:F37"/>
    <mergeCell ref="A52:F52"/>
    <mergeCell ref="A63:F63"/>
    <mergeCell ref="B64:F64"/>
    <mergeCell ref="A67:G67"/>
    <mergeCell ref="A68:G68"/>
    <mergeCell ref="A69:C69"/>
    <mergeCell ref="A71:G71"/>
    <mergeCell ref="A72:G72"/>
    <mergeCell ref="A73:G73"/>
    <mergeCell ref="A86:G86"/>
    <mergeCell ref="A87:G87"/>
    <mergeCell ref="A90:G90"/>
    <mergeCell ref="A24:F24"/>
    <mergeCell ref="D18:D19"/>
    <mergeCell ref="F18:G18"/>
    <mergeCell ref="F19:G19"/>
    <mergeCell ref="A21:G21"/>
    <mergeCell ref="B22:B23"/>
    <mergeCell ref="C22:C23"/>
    <mergeCell ref="D22:D23"/>
    <mergeCell ref="E22:E23"/>
    <mergeCell ref="L11:Q11"/>
    <mergeCell ref="D15:D16"/>
    <mergeCell ref="E15:F15"/>
    <mergeCell ref="E16:F16"/>
    <mergeCell ref="C1:G1"/>
    <mergeCell ref="A2:C2"/>
    <mergeCell ref="A4:C4"/>
    <mergeCell ref="A5:C5"/>
    <mergeCell ref="A7:C7"/>
    <mergeCell ref="A6:C6"/>
    <mergeCell ref="A9:F9"/>
    <mergeCell ref="A10:G10"/>
    <mergeCell ref="D11:D13"/>
    <mergeCell ref="F11:G11"/>
    <mergeCell ref="F13:G13"/>
  </mergeCells>
  <conditionalFormatting sqref="A15">
    <cfRule type="colorScale" priority="15">
      <colorScale>
        <cfvo type="min"/>
        <cfvo type="max"/>
        <color theme="0"/>
        <color rgb="FFFFEF9C"/>
      </colorScale>
    </cfRule>
  </conditionalFormatting>
  <conditionalFormatting sqref="D11 E13:F13">
    <cfRule type="expression" dxfId="65" priority="34">
      <formula>$E$13="X"</formula>
    </cfRule>
  </conditionalFormatting>
  <conditionalFormatting sqref="D11:D12 D12:F12">
    <cfRule type="expression" dxfId="64" priority="22">
      <formula>$E$12="X"</formula>
    </cfRule>
  </conditionalFormatting>
  <conditionalFormatting sqref="D11:D12">
    <cfRule type="expression" dxfId="63" priority="33">
      <formula>$E$22="X"</formula>
    </cfRule>
    <cfRule type="expression" dxfId="62" priority="35">
      <formula>$E$22="x"</formula>
    </cfRule>
    <cfRule type="expression" dxfId="61" priority="36">
      <formula>$E$21="X"</formula>
    </cfRule>
  </conditionalFormatting>
  <conditionalFormatting sqref="D11:F11 D12">
    <cfRule type="expression" dxfId="60" priority="23">
      <formula>$E$11="X"</formula>
    </cfRule>
  </conditionalFormatting>
  <conditionalFormatting sqref="E16:G16 D15:D16">
    <cfRule type="expression" dxfId="59" priority="5">
      <formula>$G$16</formula>
    </cfRule>
  </conditionalFormatting>
  <conditionalFormatting sqref="G15 D15:E15">
    <cfRule type="expression" dxfId="58" priority="6">
      <formula>$G$15</formula>
    </cfRule>
  </conditionalFormatting>
  <conditionalFormatting sqref="G15">
    <cfRule type="expression" dxfId="57" priority="2">
      <formula>IF(AND(OR(E11="X", E12="X"), H15&gt;160), 1, 0)</formula>
    </cfRule>
    <cfRule type="expression" dxfId="56" priority="4">
      <formula>IF(AND(E13="x", H15&gt;140), 1, 0)</formula>
    </cfRule>
  </conditionalFormatting>
  <conditionalFormatting sqref="G16">
    <cfRule type="expression" dxfId="55" priority="1">
      <formula>IF(AND(OR(E11="X", E12="X"), H15&gt;160), 1, 0)</formula>
    </cfRule>
    <cfRule type="expression" dxfId="54" priority="3">
      <formula>IF(AND(E13="x", H15&gt;140), 1, 0)</formula>
    </cfRule>
  </conditionalFormatting>
  <hyperlinks>
    <hyperlink ref="B79" r:id="rId1" xr:uid="{08496277-0ACD-4A7C-8E17-FCC05A3124C8}"/>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aie2">
    <tabColor theme="2" tint="-0.249977111117893"/>
  </sheetPr>
  <dimension ref="A1:AC228"/>
  <sheetViews>
    <sheetView zoomScaleNormal="100" zoomScaleSheetLayoutView="100" workbookViewId="0">
      <selection activeCell="K7" sqref="K7"/>
    </sheetView>
  </sheetViews>
  <sheetFormatPr defaultColWidth="9.109375" defaultRowHeight="11.4" x14ac:dyDescent="0.2"/>
  <cols>
    <col min="1" max="1" width="5.33203125" style="5" customWidth="1"/>
    <col min="2" max="2" width="9.21875" style="5" customWidth="1"/>
    <col min="3" max="3" width="61.77734375" style="5" customWidth="1"/>
    <col min="4" max="4" width="8.33203125" style="5" customWidth="1"/>
    <col min="5" max="5" width="5.77734375" style="5" customWidth="1"/>
    <col min="6" max="6" width="10.109375" style="5" customWidth="1"/>
    <col min="7" max="7" width="10.6640625" style="5" customWidth="1"/>
    <col min="8" max="8" width="6.21875" style="58" customWidth="1"/>
    <col min="9" max="9" width="9.109375" style="5" customWidth="1"/>
    <col min="10" max="12" width="11.21875" style="5" customWidth="1"/>
    <col min="13" max="16" width="13.109375" style="5" customWidth="1"/>
    <col min="17" max="17" width="14.21875" style="5" customWidth="1"/>
    <col min="18" max="18" width="11.77734375" style="5" customWidth="1"/>
    <col min="19" max="19" width="10.109375" style="5" customWidth="1"/>
    <col min="20" max="20" width="8.77734375" style="5" customWidth="1"/>
    <col min="21" max="16384" width="9.109375" style="5"/>
  </cols>
  <sheetData>
    <row r="1" spans="1:12" ht="127.5" customHeight="1" x14ac:dyDescent="0.2">
      <c r="C1" s="734" t="s">
        <v>449</v>
      </c>
      <c r="D1" s="734"/>
      <c r="E1" s="734"/>
      <c r="F1" s="734"/>
      <c r="G1" s="734"/>
      <c r="H1" s="80"/>
      <c r="I1" s="8"/>
      <c r="J1" s="8"/>
      <c r="K1" s="8"/>
    </row>
    <row r="2" spans="1:12" ht="19.5" customHeight="1" x14ac:dyDescent="0.3">
      <c r="A2" s="739" t="s">
        <v>493</v>
      </c>
      <c r="B2" s="740"/>
      <c r="C2" s="740"/>
    </row>
    <row r="3" spans="1:12" x14ac:dyDescent="0.2">
      <c r="A3" s="2"/>
    </row>
    <row r="4" spans="1:12" ht="14.4" x14ac:dyDescent="0.3">
      <c r="A4" s="739" t="s">
        <v>77</v>
      </c>
      <c r="B4" s="740"/>
      <c r="C4" s="740"/>
    </row>
    <row r="5" spans="1:12" ht="14.4" x14ac:dyDescent="0.3">
      <c r="A5" s="739" t="s">
        <v>15</v>
      </c>
      <c r="B5" s="740"/>
      <c r="C5" s="740"/>
    </row>
    <row r="6" spans="1:12" ht="14.4" x14ac:dyDescent="0.3">
      <c r="A6" s="739" t="s">
        <v>13</v>
      </c>
      <c r="B6" s="740"/>
      <c r="C6" s="740"/>
    </row>
    <row r="7" spans="1:12" ht="14.4" x14ac:dyDescent="0.3">
      <c r="A7" s="739" t="s">
        <v>17</v>
      </c>
      <c r="B7" s="740"/>
      <c r="C7" s="740"/>
    </row>
    <row r="8" spans="1:12" ht="12" customHeight="1" thickBot="1" x14ac:dyDescent="0.35">
      <c r="A8" s="2"/>
      <c r="B8"/>
      <c r="C8"/>
    </row>
    <row r="9" spans="1:12" ht="30" customHeight="1" thickTop="1" thickBot="1" x14ac:dyDescent="0.25">
      <c r="A9" s="735" t="s">
        <v>0</v>
      </c>
      <c r="B9" s="735"/>
      <c r="C9" s="735"/>
      <c r="D9" s="735"/>
      <c r="E9" s="735"/>
      <c r="F9" s="735"/>
      <c r="G9" s="56" t="s">
        <v>152</v>
      </c>
      <c r="H9" s="59"/>
      <c r="I9" s="3"/>
      <c r="J9" s="4"/>
      <c r="K9" s="4"/>
      <c r="L9" s="4"/>
    </row>
    <row r="10" spans="1:12" ht="30" customHeight="1" thickTop="1" thickBot="1" x14ac:dyDescent="0.25">
      <c r="A10" s="735" t="s">
        <v>150</v>
      </c>
      <c r="B10" s="735"/>
      <c r="C10" s="735"/>
      <c r="D10" s="735"/>
      <c r="E10" s="735"/>
      <c r="F10" s="735"/>
      <c r="G10" s="559"/>
      <c r="H10" s="59"/>
      <c r="I10" s="3"/>
      <c r="J10" s="4"/>
      <c r="K10" s="4"/>
      <c r="L10" s="4"/>
    </row>
    <row r="11" spans="1:12" ht="16.05" customHeight="1" thickTop="1" thickBot="1" x14ac:dyDescent="0.25">
      <c r="A11" s="53"/>
      <c r="B11" s="53"/>
      <c r="C11" s="680" t="s">
        <v>156</v>
      </c>
      <c r="D11" s="560"/>
      <c r="E11" s="53"/>
      <c r="F11" s="53"/>
      <c r="G11" s="73"/>
      <c r="H11" s="59"/>
      <c r="I11" s="3"/>
      <c r="J11" s="4"/>
      <c r="K11" s="4"/>
      <c r="L11" s="4"/>
    </row>
    <row r="12" spans="1:12" ht="16.05" customHeight="1" thickTop="1" thickBot="1" x14ac:dyDescent="0.25">
      <c r="A12" s="796" t="s">
        <v>145</v>
      </c>
      <c r="B12" s="797"/>
      <c r="C12" s="680" t="s">
        <v>158</v>
      </c>
      <c r="D12" s="560"/>
      <c r="E12" s="53"/>
      <c r="F12" s="53"/>
      <c r="G12" s="73"/>
      <c r="H12" s="59"/>
      <c r="I12" s="3"/>
      <c r="J12" s="4"/>
      <c r="K12" s="4"/>
      <c r="L12" s="4"/>
    </row>
    <row r="13" spans="1:12" ht="16.05" customHeight="1" thickTop="1" thickBot="1" x14ac:dyDescent="0.25">
      <c r="A13" s="53"/>
      <c r="B13" s="53"/>
      <c r="C13" s="680" t="s">
        <v>157</v>
      </c>
      <c r="D13" s="560"/>
      <c r="E13" s="53"/>
      <c r="F13" s="53"/>
      <c r="G13" s="73"/>
      <c r="H13" s="59"/>
      <c r="I13" s="3"/>
      <c r="J13" s="4"/>
      <c r="K13" s="4"/>
      <c r="L13" s="4"/>
    </row>
    <row r="14" spans="1:12" ht="39" customHeight="1" thickTop="1" x14ac:dyDescent="0.2">
      <c r="A14" s="3"/>
      <c r="B14" s="3"/>
      <c r="C14" s="3"/>
      <c r="D14" s="3"/>
      <c r="E14" s="3"/>
      <c r="F14" s="3"/>
      <c r="G14" s="3"/>
      <c r="H14" s="59"/>
      <c r="I14" s="3"/>
      <c r="J14" s="4"/>
      <c r="K14" s="4"/>
      <c r="L14" s="4"/>
    </row>
    <row r="15" spans="1:12" ht="39" customHeight="1" x14ac:dyDescent="0.2">
      <c r="A15" s="3"/>
      <c r="B15" s="3"/>
      <c r="C15" s="3"/>
      <c r="D15" s="3"/>
      <c r="E15" s="3"/>
      <c r="F15" s="3"/>
      <c r="G15" s="3"/>
      <c r="H15" s="59"/>
      <c r="I15" s="3"/>
      <c r="J15" s="4"/>
      <c r="K15" s="4"/>
      <c r="L15" s="4"/>
    </row>
    <row r="16" spans="1:12" x14ac:dyDescent="0.2">
      <c r="A16" s="3"/>
      <c r="B16" s="3"/>
      <c r="C16" s="3"/>
      <c r="D16" s="3"/>
      <c r="E16" s="3"/>
      <c r="F16" s="3"/>
      <c r="G16" s="3"/>
      <c r="H16" s="59"/>
      <c r="I16" s="3"/>
      <c r="J16" s="4"/>
      <c r="K16" s="4"/>
      <c r="L16" s="4"/>
    </row>
    <row r="17" spans="1:13" ht="45.75" customHeight="1" thickBot="1" x14ac:dyDescent="0.45">
      <c r="A17" s="741" t="s">
        <v>97</v>
      </c>
      <c r="B17" s="795"/>
      <c r="C17" s="795"/>
      <c r="D17" s="795"/>
      <c r="E17" s="795"/>
      <c r="F17" s="795"/>
      <c r="G17" s="795"/>
      <c r="H17" s="59"/>
      <c r="I17" s="4"/>
      <c r="J17" s="4"/>
      <c r="K17" s="4"/>
    </row>
    <row r="18" spans="1:13" ht="25.5" customHeight="1" thickTop="1" thickBot="1" x14ac:dyDescent="0.25">
      <c r="A18" s="26" t="s">
        <v>1</v>
      </c>
      <c r="B18" s="737" t="s">
        <v>3</v>
      </c>
      <c r="C18" s="737" t="s">
        <v>4</v>
      </c>
      <c r="D18" s="737" t="s">
        <v>5</v>
      </c>
      <c r="E18" s="737" t="s">
        <v>6</v>
      </c>
      <c r="F18" s="26" t="s">
        <v>7</v>
      </c>
      <c r="G18" s="26" t="s">
        <v>9</v>
      </c>
      <c r="H18" s="59"/>
      <c r="I18" s="4"/>
      <c r="J18" s="4"/>
      <c r="K18" s="4"/>
      <c r="L18" s="4"/>
    </row>
    <row r="19" spans="1:13" ht="25.5" customHeight="1" thickTop="1" thickBot="1" x14ac:dyDescent="0.25">
      <c r="A19" s="26" t="s">
        <v>2</v>
      </c>
      <c r="B19" s="737"/>
      <c r="C19" s="737"/>
      <c r="D19" s="737"/>
      <c r="E19" s="737"/>
      <c r="F19" s="26" t="s">
        <v>8</v>
      </c>
      <c r="G19" s="26" t="s">
        <v>8</v>
      </c>
      <c r="H19" s="59"/>
      <c r="I19" s="4"/>
      <c r="J19" s="4"/>
      <c r="K19" s="4"/>
      <c r="L19" s="4"/>
      <c r="M19" s="84" t="s">
        <v>139</v>
      </c>
    </row>
    <row r="20" spans="1:13" ht="16.05" customHeight="1" thickTop="1" thickBot="1" x14ac:dyDescent="0.25">
      <c r="A20" s="798" t="s">
        <v>41</v>
      </c>
      <c r="B20" s="783"/>
      <c r="C20" s="783"/>
      <c r="D20" s="783"/>
      <c r="E20" s="783"/>
      <c r="F20" s="783"/>
      <c r="G20" s="13"/>
      <c r="H20" s="59">
        <f>SUM(H21:H34)</f>
        <v>0</v>
      </c>
      <c r="I20" s="4"/>
      <c r="J20" s="4"/>
      <c r="K20" s="4"/>
      <c r="L20" s="546"/>
      <c r="M20" s="85" t="s">
        <v>140</v>
      </c>
    </row>
    <row r="21" spans="1:13" ht="16.05" customHeight="1" thickTop="1" thickBot="1" x14ac:dyDescent="0.25">
      <c r="A21" s="16"/>
      <c r="B21" s="17">
        <v>120308</v>
      </c>
      <c r="C21" s="18" t="s">
        <v>24</v>
      </c>
      <c r="D21" s="19" t="s">
        <v>10</v>
      </c>
      <c r="E21" s="19">
        <f>IF(AND(G10&gt;=1, G10&lt;=1.4), 1, 0)</f>
        <v>0</v>
      </c>
      <c r="F21" s="618">
        <v>32</v>
      </c>
      <c r="G21" s="20">
        <f t="shared" ref="G21:G34" si="0">E21*F21</f>
        <v>0</v>
      </c>
      <c r="H21" s="59">
        <f t="shared" ref="H21:H34" si="1">E21</f>
        <v>0</v>
      </c>
      <c r="I21" s="4"/>
      <c r="J21" s="4"/>
      <c r="K21" s="4"/>
      <c r="L21" s="546"/>
      <c r="M21" s="85">
        <f>E21*300</f>
        <v>0</v>
      </c>
    </row>
    <row r="22" spans="1:13" ht="16.05" customHeight="1" thickTop="1" thickBot="1" x14ac:dyDescent="0.25">
      <c r="A22" s="16"/>
      <c r="B22" s="17">
        <v>120458</v>
      </c>
      <c r="C22" s="18" t="s">
        <v>25</v>
      </c>
      <c r="D22" s="19" t="s">
        <v>10</v>
      </c>
      <c r="E22" s="19">
        <f>IF(AND(G10&gt;=1.5, G10&lt;=1.9), 1, 0)</f>
        <v>0</v>
      </c>
      <c r="F22" s="613">
        <v>46</v>
      </c>
      <c r="G22" s="20">
        <f t="shared" si="0"/>
        <v>0</v>
      </c>
      <c r="H22" s="59">
        <f t="shared" si="1"/>
        <v>0</v>
      </c>
      <c r="I22" s="4"/>
      <c r="J22" s="4"/>
      <c r="K22" s="4"/>
      <c r="L22" s="546"/>
      <c r="M22" s="85">
        <f>E22*450</f>
        <v>0</v>
      </c>
    </row>
    <row r="23" spans="1:13" ht="16.05" customHeight="1" thickTop="1" thickBot="1" x14ac:dyDescent="0.25">
      <c r="A23" s="16"/>
      <c r="B23" s="17">
        <v>120608</v>
      </c>
      <c r="C23" s="18" t="s">
        <v>26</v>
      </c>
      <c r="D23" s="19" t="s">
        <v>10</v>
      </c>
      <c r="E23" s="19">
        <f>IF(AND(G10&gt;=2, G10&lt;=2.7), 1, 0)</f>
        <v>0</v>
      </c>
      <c r="F23" s="613">
        <v>58</v>
      </c>
      <c r="G23" s="20">
        <f t="shared" si="0"/>
        <v>0</v>
      </c>
      <c r="H23" s="59">
        <f t="shared" si="1"/>
        <v>0</v>
      </c>
      <c r="I23" s="4"/>
      <c r="J23" s="4"/>
      <c r="K23" s="4"/>
      <c r="L23" s="546"/>
      <c r="M23" s="85">
        <f>E23*600</f>
        <v>0</v>
      </c>
    </row>
    <row r="24" spans="1:13" ht="16.05" customHeight="1" thickTop="1" thickBot="1" x14ac:dyDescent="0.25">
      <c r="A24" s="16"/>
      <c r="B24" s="17">
        <v>120758</v>
      </c>
      <c r="C24" s="18" t="s">
        <v>27</v>
      </c>
      <c r="D24" s="19" t="s">
        <v>10</v>
      </c>
      <c r="E24" s="19">
        <f>IF(AND(G10&gt;=3, G10&lt;=3.6), 1, 0)</f>
        <v>0</v>
      </c>
      <c r="F24" s="613">
        <v>69</v>
      </c>
      <c r="G24" s="20">
        <f t="shared" si="0"/>
        <v>0</v>
      </c>
      <c r="H24" s="59">
        <f t="shared" si="1"/>
        <v>0</v>
      </c>
      <c r="I24" s="4"/>
      <c r="J24" s="4"/>
      <c r="K24" s="4"/>
      <c r="L24" s="546"/>
      <c r="M24" s="85">
        <f>E24*750</f>
        <v>0</v>
      </c>
    </row>
    <row r="25" spans="1:13" ht="16.05" customHeight="1" thickTop="1" thickBot="1" x14ac:dyDescent="0.25">
      <c r="A25" s="16"/>
      <c r="B25" s="17">
        <v>120908</v>
      </c>
      <c r="C25" s="18" t="s">
        <v>28</v>
      </c>
      <c r="D25" s="19" t="s">
        <v>10</v>
      </c>
      <c r="E25" s="19">
        <f>IF(AND(G10&gt;=3.2, G10&lt;=4), 1, 0)</f>
        <v>0</v>
      </c>
      <c r="F25" s="613">
        <v>75</v>
      </c>
      <c r="G25" s="20">
        <f t="shared" si="0"/>
        <v>0</v>
      </c>
      <c r="H25" s="59">
        <f t="shared" si="1"/>
        <v>0</v>
      </c>
      <c r="I25" s="4"/>
      <c r="J25" s="4"/>
      <c r="K25" s="4"/>
      <c r="L25" s="546"/>
      <c r="M25" s="85">
        <f>E25*900</f>
        <v>0</v>
      </c>
    </row>
    <row r="26" spans="1:13" ht="16.05" customHeight="1" thickTop="1" thickBot="1" x14ac:dyDescent="0.25">
      <c r="A26" s="16"/>
      <c r="B26" s="17">
        <v>121208</v>
      </c>
      <c r="C26" s="18" t="s">
        <v>29</v>
      </c>
      <c r="D26" s="19" t="s">
        <v>10</v>
      </c>
      <c r="E26" s="19">
        <f>IF(OR(AND(G10&gt;=4.1, G10&lt;=5.1), AND(G10&gt;=17.5, G10&lt;=19.1)), 1, IF(AND(G10&gt;=14.1, G10&lt;=17.4), 2, 0))</f>
        <v>0</v>
      </c>
      <c r="F26" s="613">
        <v>95</v>
      </c>
      <c r="G26" s="20">
        <f t="shared" si="0"/>
        <v>0</v>
      </c>
      <c r="H26" s="59">
        <f t="shared" si="1"/>
        <v>0</v>
      </c>
      <c r="I26" s="4"/>
      <c r="J26" s="4"/>
      <c r="K26" s="7"/>
      <c r="L26" s="546"/>
      <c r="M26" s="85">
        <f>E26*1200</f>
        <v>0</v>
      </c>
    </row>
    <row r="27" spans="1:13" ht="16.05" customHeight="1" thickTop="1" thickBot="1" x14ac:dyDescent="0.25">
      <c r="A27" s="16"/>
      <c r="B27" s="17">
        <v>121508</v>
      </c>
      <c r="C27" s="18" t="s">
        <v>30</v>
      </c>
      <c r="D27" s="19" t="s">
        <v>10</v>
      </c>
      <c r="E27" s="610">
        <f>IF(OR(AND(G10&gt;=5.2, G10&lt;=6.3), AND(G10&gt;=14.1, G10&lt;=17.4), AND(G10&gt;=21.9, G10&lt;=23)), 1, IF(OR(AND(G10&gt;=17.5, G10&lt;=19.1), AND(G10&gt;=20.6, G10&lt;=21.8)), 2, IF(AND(G10&gt;=19.2, G10&lt;=20.5), 3, 0)))</f>
        <v>0</v>
      </c>
      <c r="F27" s="613">
        <v>115</v>
      </c>
      <c r="G27" s="20">
        <f t="shared" si="0"/>
        <v>0</v>
      </c>
      <c r="H27" s="59">
        <f t="shared" si="1"/>
        <v>0</v>
      </c>
      <c r="I27" s="4"/>
      <c r="J27" s="4"/>
      <c r="K27" s="4"/>
      <c r="L27" s="546"/>
      <c r="M27" s="85">
        <f>E27*1500</f>
        <v>0</v>
      </c>
    </row>
    <row r="28" spans="1:13" ht="16.05" customHeight="1" thickTop="1" thickBot="1" x14ac:dyDescent="0.25">
      <c r="A28" s="16"/>
      <c r="B28" s="17">
        <v>121808</v>
      </c>
      <c r="C28" s="18" t="s">
        <v>31</v>
      </c>
      <c r="D28" s="19" t="s">
        <v>10</v>
      </c>
      <c r="E28" s="19">
        <f>IF(OR(AND(G10&gt;=6.4, G10&lt;=7.4), AND(G10&gt;=20.6, G10&lt;=21.8), AND(G10&gt;=26, G10&lt;=27.3)), 1, IF(OR(AND(G10&gt;=21.9, G10&lt;=23), AND(G10&gt;=24.6, G10&lt;=25.9)), 2, IF(AND(G10&gt;=23.1, G10&lt;=24.5), 3, 0)))</f>
        <v>0</v>
      </c>
      <c r="F28" s="614">
        <v>138</v>
      </c>
      <c r="G28" s="20">
        <f t="shared" si="0"/>
        <v>0</v>
      </c>
      <c r="H28" s="59">
        <f t="shared" si="1"/>
        <v>0</v>
      </c>
      <c r="I28" s="4"/>
      <c r="J28" s="4"/>
      <c r="K28" s="4"/>
      <c r="L28" s="546"/>
      <c r="M28" s="85">
        <f>E28*1800</f>
        <v>0</v>
      </c>
    </row>
    <row r="29" spans="1:13" ht="16.05" customHeight="1" thickTop="1" thickBot="1" x14ac:dyDescent="0.25">
      <c r="A29" s="16"/>
      <c r="B29" s="17">
        <v>122108</v>
      </c>
      <c r="C29" s="18" t="s">
        <v>32</v>
      </c>
      <c r="D29" s="19" t="s">
        <v>10</v>
      </c>
      <c r="E29" s="19">
        <f>IF(OR(AND(G10&gt;=7.5,G10&lt;=8.5),AND(G10&gt;=24.6,G10&lt;=25.9),AND(G10&gt;=30.1,G10&lt;=31.3),AND(G10&gt;=62.9,G10&lt;=64)),1,IF(OR(AND(G10&gt;=26,G10&lt;=27.3),AND(G10&gt;=28.8,G10&lt;=30),AND(G10&gt;=61.1,G10&lt;=62.8)),2,IF(AND(G10&gt;=27.4,G10&lt;=28.7),3,IF(AND(G10&gt;=57.3,G10&lt;=58.6),5, IF(AND(G10&gt;=58.7, G10&lt;=60), 4, 0)))))</f>
        <v>0</v>
      </c>
      <c r="F29" s="614">
        <v>161</v>
      </c>
      <c r="G29" s="20">
        <f t="shared" si="0"/>
        <v>0</v>
      </c>
      <c r="H29" s="59">
        <f t="shared" si="1"/>
        <v>0</v>
      </c>
      <c r="I29" s="4"/>
      <c r="J29" s="4"/>
      <c r="K29" s="4"/>
      <c r="L29" s="546"/>
      <c r="M29" s="85">
        <f>E29*2100</f>
        <v>0</v>
      </c>
    </row>
    <row r="30" spans="1:13" ht="16.05" customHeight="1" thickTop="1" thickBot="1" x14ac:dyDescent="0.25">
      <c r="A30" s="16"/>
      <c r="B30" s="17">
        <v>122408</v>
      </c>
      <c r="C30" s="18" t="s">
        <v>33</v>
      </c>
      <c r="D30" s="19" t="s">
        <v>10</v>
      </c>
      <c r="E30" s="19">
        <f>IF(OR(AND(G10&gt;=8.6,G10&lt;=10.5),AND(G10&gt;=28.8,G10&lt;=30),AND(G10&gt;=35.5,G10&lt;=41.9),AND(G10&gt;=76.4,G10&lt;=79)),1,IF(OR(AND(G10&gt;=30.1,G10&lt;=31.3),AND(G10&gt;=32.9,G10&lt;=35.4),AND(G10&gt;=58.7,G10&lt;=60),AND(G10&gt;=73.7,G10&lt;=76.3)),2,IF(OR(AND(G10&gt;=27.4,G10&lt;=28.7),AND(G10&gt;=57.3,G10&lt;=58.6),AND(G10&gt;=58.7,G10&lt;=60)),3,IF(OR(AND(G10&gt;=61.1,G10&lt;=62.8),AND(G10&gt;=68.3,G10&lt;=71)),4,IF(OR(AND(G10&gt;=62.9,G10&lt;=64),AND(G10&gt;=65.6,G10&lt;=68.2)),5,IF(OR(AND(G10&gt;=64.1,G10&lt;=65.5)),6,0))))))</f>
        <v>0</v>
      </c>
      <c r="F30" s="614">
        <v>169</v>
      </c>
      <c r="G30" s="20">
        <f t="shared" si="0"/>
        <v>0</v>
      </c>
      <c r="H30" s="59">
        <f t="shared" si="1"/>
        <v>0</v>
      </c>
      <c r="I30" s="4"/>
      <c r="J30" s="4"/>
      <c r="K30" s="4"/>
      <c r="L30" s="546"/>
      <c r="M30" s="85">
        <f>E30*2400</f>
        <v>0</v>
      </c>
    </row>
    <row r="31" spans="1:13" ht="16.05" customHeight="1" thickTop="1" thickBot="1" x14ac:dyDescent="0.25">
      <c r="A31" s="16"/>
      <c r="B31" s="17">
        <v>123008</v>
      </c>
      <c r="C31" s="18" t="s">
        <v>34</v>
      </c>
      <c r="D31" s="19" t="s">
        <v>10</v>
      </c>
      <c r="E31" s="19">
        <f>IF(OR(AND(G10&gt;=10.6,G10&lt;=12),AND(G10&gt;=32.9,G10&lt;=35.4),AND(G10&gt;=65.6,G10&lt;=68.2),AND(G10&gt;=89.2,G10&lt;=90.9)),1,IF(OR(AND(G10&gt;=68.3,G10&lt;=71),AND(G10&gt;=87.3,G10&lt;=89.1)),2,IF(OR(AND(G10&gt;=71.1,G10&lt;=73.6),AND(G10&gt;=85.4,G10&lt;=87.2)),3,IF(OR(AND(G10&gt;=73.7,G10&lt;=76.3),AND(G10&gt;=83.7,G10&lt;=85.3)),4,IF(OR(AND(G10&gt;=76.4,G10&lt;=79),AND(G10&gt;=82.1,G10&lt;=83.6)),5,IF(OR(AND(G10&gt;=79.1,G10&lt;=82)),6,0))))))</f>
        <v>0</v>
      </c>
      <c r="F31" s="614">
        <v>217</v>
      </c>
      <c r="G31" s="20">
        <f t="shared" si="0"/>
        <v>0</v>
      </c>
      <c r="H31" s="59">
        <f t="shared" si="1"/>
        <v>0</v>
      </c>
      <c r="I31" s="4"/>
      <c r="J31" s="4"/>
      <c r="K31" s="4"/>
      <c r="L31" s="546"/>
      <c r="M31" s="85">
        <f>E31*3000</f>
        <v>0</v>
      </c>
    </row>
    <row r="32" spans="1:13" ht="16.05" customHeight="1" thickTop="1" thickBot="1" x14ac:dyDescent="0.25">
      <c r="A32" s="16"/>
      <c r="B32" s="17">
        <v>123408</v>
      </c>
      <c r="C32" s="18" t="s">
        <v>44</v>
      </c>
      <c r="D32" s="19" t="s">
        <v>10</v>
      </c>
      <c r="E32" s="19">
        <f>IF(OR(AND(G10&gt;=12.1,G10&lt;=12.5),AND(G10&gt;=45.3,G10&lt;=46.1),AND(G10&gt;=82.1,G10&lt;=83.6),AND(G10&gt;=96.4,G10&lt;=97.2)),1,IF(OR(AND(G10&gt;=35.5,G10&lt;=41.9),AND(G10&gt;=83.7,G10&lt;=85.3),AND(G10&gt;=95.5,G10&lt;=96.3)),2,IF(OR(AND(G10&gt;=42,G10&lt;=45.2),AND(G10&gt;=85.4,G10&lt;=87.2),AND(G10&gt;=94.6,G10&lt;=95.4)),3,IF(OR(AND(G10&gt;=87.3,G10&lt;=89.1),AND(G10&gt;=93.7,G10&lt;=94.5)),4,IF(OR(AND(G10&gt;=89.2,G10&lt;=90.9),AND(G10&gt;=92.8,G10&lt;=93.6)),5,IF(OR(AND(G10&gt;=91,G10&lt;=92.7)),6,0))))))</f>
        <v>0</v>
      </c>
      <c r="F32" s="614">
        <v>247</v>
      </c>
      <c r="G32" s="20">
        <f t="shared" si="0"/>
        <v>0</v>
      </c>
      <c r="H32" s="59">
        <f t="shared" si="1"/>
        <v>0</v>
      </c>
      <c r="I32" s="4"/>
      <c r="J32" s="4"/>
      <c r="K32" s="4"/>
      <c r="L32" s="546"/>
      <c r="M32" s="85">
        <f>E32*3400</f>
        <v>0</v>
      </c>
    </row>
    <row r="33" spans="1:14" ht="16.05" customHeight="1" thickTop="1" thickBot="1" x14ac:dyDescent="0.25">
      <c r="A33" s="16"/>
      <c r="B33" s="17">
        <v>123608</v>
      </c>
      <c r="C33" s="18" t="s">
        <v>35</v>
      </c>
      <c r="D33" s="19" t="s">
        <v>10</v>
      </c>
      <c r="E33" s="19">
        <f>IF(OR(AND(G10&gt;=12.6,G10&lt;=14),AND(G10&gt;=49.5,G10&lt;=52),AND(G10&gt;=92.8,G10&lt;=93.6),AND(G10&gt;=109.1,G10&lt;=111.8)),1,IF(OR(AND(G10&gt;=45.3,G10&lt;=46.1),AND(G10&gt;=47.1,G10&lt;=49.4),AND(G10&gt;=93.7,G10&lt;=94.5),AND(G10&gt;=106.4,G10&lt;=109)),2,IF(OR(AND(G10&gt;=46.2,G10&lt;=47),AND(G10&gt;=94.6,G10&lt;=95.4),AND(G10&gt;=103.7,G10&lt;=106.3)),3,IF(OR(AND(G10&gt;=95.5,G10&lt;=96.3),AND(G10&gt;=101,G10&lt;=103.6)),4,IF(OR(AND(G10&gt;=96.4,G10&lt;=97.2),AND(G10&gt;=98.3,G10&lt;=100.9)),5,IF(OR(AND(G10&gt;=97.3,G10&lt;=98.2)),6,0))))))</f>
        <v>0</v>
      </c>
      <c r="F33" s="614">
        <v>259</v>
      </c>
      <c r="G33" s="20">
        <f t="shared" si="0"/>
        <v>0</v>
      </c>
      <c r="H33" s="59">
        <f t="shared" si="1"/>
        <v>0</v>
      </c>
      <c r="I33" s="4"/>
      <c r="J33" s="4"/>
      <c r="K33" s="4"/>
      <c r="L33" s="546"/>
      <c r="M33" s="85">
        <f>E33*3600</f>
        <v>0</v>
      </c>
    </row>
    <row r="34" spans="1:14" ht="16.05" customHeight="1" thickTop="1" thickBot="1" x14ac:dyDescent="0.25">
      <c r="A34" s="16"/>
      <c r="B34" s="17">
        <v>124208</v>
      </c>
      <c r="C34" s="18" t="s">
        <v>36</v>
      </c>
      <c r="D34" s="19" t="s">
        <v>10</v>
      </c>
      <c r="E34" s="19">
        <f>IF(OR(AND(G10&gt;=47.1,G10&lt;=49.4),AND(G10&gt;=98.3,G10&lt;=100.9)),1,IF(OR(AND(G10&gt;=49.5,G10&lt;=52),AND(G10&gt;=101,G10&lt;=103.6)),2,IF(OR(AND(G10&gt;=52.1,G10&lt;=57.2),AND(G10&gt;=103.7,G10&lt;=106.3)),3,IF(OR(AND(G10&gt;=106.4,G10&lt;=109)),4,IF(OR(AND(G10&gt;=109.1,G10&lt;=111.8)),5,IF(OR(AND(G10&gt;=111.9,G10&lt;=114.5)),6,0))))))</f>
        <v>0</v>
      </c>
      <c r="F34" s="616">
        <v>335</v>
      </c>
      <c r="G34" s="20">
        <f t="shared" si="0"/>
        <v>0</v>
      </c>
      <c r="H34" s="59">
        <f t="shared" si="1"/>
        <v>0</v>
      </c>
      <c r="I34" s="4"/>
      <c r="J34" s="4"/>
      <c r="K34" s="4"/>
      <c r="L34" s="546"/>
      <c r="M34" s="85">
        <f>E34*4200</f>
        <v>0</v>
      </c>
    </row>
    <row r="35" spans="1:14" ht="16.05" customHeight="1" thickTop="1" thickBot="1" x14ac:dyDescent="0.25">
      <c r="A35" s="54" t="s">
        <v>40</v>
      </c>
      <c r="B35" s="55"/>
      <c r="C35" s="55"/>
      <c r="D35" s="55"/>
      <c r="E35" s="55"/>
      <c r="F35" s="55"/>
      <c r="G35" s="12"/>
      <c r="H35" s="59">
        <f>SUM(H36:H46)</f>
        <v>0</v>
      </c>
      <c r="I35" s="4"/>
      <c r="J35" s="4"/>
      <c r="K35" s="4"/>
      <c r="L35" s="85" t="s">
        <v>424</v>
      </c>
      <c r="M35" s="547">
        <f>SUM(M21:M34)</f>
        <v>0</v>
      </c>
    </row>
    <row r="36" spans="1:14" ht="16.05" customHeight="1" thickTop="1" thickBot="1" x14ac:dyDescent="0.25">
      <c r="A36" s="16"/>
      <c r="B36" s="21" t="s">
        <v>37</v>
      </c>
      <c r="C36" s="22" t="s">
        <v>425</v>
      </c>
      <c r="D36" s="16" t="s">
        <v>10</v>
      </c>
      <c r="E36" s="16">
        <f>IF(D13="x", 1, 0)</f>
        <v>0</v>
      </c>
      <c r="F36" s="633">
        <v>242</v>
      </c>
      <c r="G36" s="20">
        <f t="shared" ref="G36:G46" si="2">E36*F36</f>
        <v>0</v>
      </c>
      <c r="H36" s="59">
        <f t="shared" ref="H36:H46" si="3">E36</f>
        <v>0</v>
      </c>
      <c r="J36" s="4"/>
      <c r="L36" s="86"/>
      <c r="M36" s="86"/>
      <c r="N36" s="59"/>
    </row>
    <row r="37" spans="1:14" ht="16.05" customHeight="1" thickTop="1" thickBot="1" x14ac:dyDescent="0.25">
      <c r="A37" s="16"/>
      <c r="B37" s="21" t="s">
        <v>38</v>
      </c>
      <c r="C37" s="22" t="s">
        <v>292</v>
      </c>
      <c r="D37" s="16" t="s">
        <v>10</v>
      </c>
      <c r="E37" s="16">
        <f>IF(D12="x", 1, 0)</f>
        <v>0</v>
      </c>
      <c r="F37" s="633">
        <v>125</v>
      </c>
      <c r="G37" s="20">
        <f t="shared" si="2"/>
        <v>0</v>
      </c>
      <c r="H37" s="59">
        <f t="shared" si="3"/>
        <v>0</v>
      </c>
      <c r="J37" s="4"/>
      <c r="L37" s="86"/>
      <c r="M37" s="86"/>
      <c r="N37" s="59"/>
    </row>
    <row r="38" spans="1:14" ht="16.05" customHeight="1" thickTop="1" thickBot="1" x14ac:dyDescent="0.25">
      <c r="A38" s="16"/>
      <c r="B38" s="21" t="s">
        <v>39</v>
      </c>
      <c r="C38" s="22" t="s">
        <v>426</v>
      </c>
      <c r="D38" s="16" t="s">
        <v>10</v>
      </c>
      <c r="E38" s="16">
        <f>IF(D12="x", 1, IF(D13="x", 2, 0))</f>
        <v>0</v>
      </c>
      <c r="F38" s="633">
        <v>191</v>
      </c>
      <c r="G38" s="20">
        <f t="shared" si="2"/>
        <v>0</v>
      </c>
      <c r="H38" s="59">
        <f t="shared" si="3"/>
        <v>0</v>
      </c>
      <c r="J38" s="4"/>
      <c r="M38" s="439"/>
      <c r="N38" s="59"/>
    </row>
    <row r="39" spans="1:14" ht="25.95" customHeight="1" thickTop="1" thickBot="1" x14ac:dyDescent="0.25">
      <c r="A39" s="16"/>
      <c r="B39" s="21" t="s">
        <v>432</v>
      </c>
      <c r="C39" s="22" t="s">
        <v>433</v>
      </c>
      <c r="D39" s="16" t="s">
        <v>10</v>
      </c>
      <c r="E39" s="16">
        <f>IF(D12="x", 1, 0)</f>
        <v>0</v>
      </c>
      <c r="F39" s="633">
        <v>243</v>
      </c>
      <c r="G39" s="20">
        <f t="shared" si="2"/>
        <v>0</v>
      </c>
      <c r="H39" s="59">
        <f t="shared" si="3"/>
        <v>0</v>
      </c>
      <c r="J39" s="4"/>
      <c r="M39" s="439"/>
      <c r="N39" s="59"/>
    </row>
    <row r="40" spans="1:14" ht="26.25" customHeight="1" thickTop="1" thickBot="1" x14ac:dyDescent="0.25">
      <c r="A40" s="16"/>
      <c r="B40" s="23">
        <v>892551</v>
      </c>
      <c r="C40" s="62" t="s">
        <v>193</v>
      </c>
      <c r="D40" s="24" t="s">
        <v>10</v>
      </c>
      <c r="E40" s="25">
        <f>IF(D11="x", 1, 0)</f>
        <v>0</v>
      </c>
      <c r="F40" s="633">
        <v>106</v>
      </c>
      <c r="G40" s="20">
        <f t="shared" si="2"/>
        <v>0</v>
      </c>
      <c r="H40" s="59">
        <f t="shared" si="3"/>
        <v>0</v>
      </c>
      <c r="J40" s="4"/>
      <c r="M40" s="439"/>
    </row>
    <row r="41" spans="1:14" ht="16.05" customHeight="1" thickTop="1" thickBot="1" x14ac:dyDescent="0.25">
      <c r="A41" s="16"/>
      <c r="B41" s="90">
        <v>891551</v>
      </c>
      <c r="C41" s="18" t="s">
        <v>144</v>
      </c>
      <c r="D41" s="24" t="s">
        <v>10</v>
      </c>
      <c r="E41" s="71"/>
      <c r="F41" s="633">
        <v>91</v>
      </c>
      <c r="G41" s="20">
        <f t="shared" si="2"/>
        <v>0</v>
      </c>
      <c r="H41" s="59">
        <f t="shared" si="3"/>
        <v>0</v>
      </c>
      <c r="J41" s="4"/>
      <c r="M41" s="439"/>
    </row>
    <row r="42" spans="1:14" ht="16.05" customHeight="1" thickTop="1" thickBot="1" x14ac:dyDescent="0.25">
      <c r="A42" s="16"/>
      <c r="B42" s="21">
        <v>860199</v>
      </c>
      <c r="C42" s="570" t="s">
        <v>164</v>
      </c>
      <c r="D42" s="24" t="s">
        <v>10</v>
      </c>
      <c r="E42" s="71"/>
      <c r="F42" s="633">
        <v>13</v>
      </c>
      <c r="G42" s="20">
        <f t="shared" si="2"/>
        <v>0</v>
      </c>
      <c r="H42" s="59">
        <f t="shared" si="3"/>
        <v>0</v>
      </c>
      <c r="J42" s="4"/>
      <c r="M42" s="439"/>
    </row>
    <row r="43" spans="1:14" ht="16.05" customHeight="1" thickTop="1" thickBot="1" x14ac:dyDescent="0.25">
      <c r="A43" s="16"/>
      <c r="B43" s="21">
        <v>890065</v>
      </c>
      <c r="C43" s="22" t="s">
        <v>80</v>
      </c>
      <c r="D43" s="16" t="s">
        <v>10</v>
      </c>
      <c r="E43" s="16"/>
      <c r="F43" s="633">
        <v>261</v>
      </c>
      <c r="G43" s="20">
        <f t="shared" si="2"/>
        <v>0</v>
      </c>
      <c r="H43" s="59">
        <f t="shared" si="3"/>
        <v>0</v>
      </c>
      <c r="J43" s="4"/>
      <c r="M43" s="439"/>
    </row>
    <row r="44" spans="1:14" ht="16.05" customHeight="1" thickTop="1" thickBot="1" x14ac:dyDescent="0.25">
      <c r="A44" s="16"/>
      <c r="B44" s="72">
        <v>900056</v>
      </c>
      <c r="C44" s="18" t="s">
        <v>427</v>
      </c>
      <c r="D44" s="16" t="s">
        <v>10</v>
      </c>
      <c r="E44" s="16"/>
      <c r="F44" s="633">
        <v>221</v>
      </c>
      <c r="G44" s="20">
        <f t="shared" si="2"/>
        <v>0</v>
      </c>
      <c r="H44" s="59">
        <f t="shared" si="3"/>
        <v>0</v>
      </c>
      <c r="J44" s="4"/>
      <c r="M44" s="439"/>
    </row>
    <row r="45" spans="1:14" ht="16.05" customHeight="1" thickTop="1" thickBot="1" x14ac:dyDescent="0.25">
      <c r="A45" s="16"/>
      <c r="B45" s="21">
        <v>893550</v>
      </c>
      <c r="C45" s="18" t="s">
        <v>428</v>
      </c>
      <c r="D45" s="16" t="s">
        <v>10</v>
      </c>
      <c r="E45" s="16"/>
      <c r="F45" s="633">
        <v>324</v>
      </c>
      <c r="G45" s="20">
        <f t="shared" si="2"/>
        <v>0</v>
      </c>
      <c r="H45" s="59">
        <f t="shared" si="3"/>
        <v>0</v>
      </c>
      <c r="J45" s="4"/>
      <c r="M45" s="439"/>
    </row>
    <row r="46" spans="1:14" ht="16.05" customHeight="1" thickTop="1" thickBot="1" x14ac:dyDescent="0.25">
      <c r="A46" s="16"/>
      <c r="B46" s="23">
        <v>720310</v>
      </c>
      <c r="C46" s="65" t="s">
        <v>429</v>
      </c>
      <c r="D46" s="24" t="s">
        <v>10</v>
      </c>
      <c r="E46" s="25">
        <f>(ROUNDUP(G10*1.5/10,0))</f>
        <v>0</v>
      </c>
      <c r="F46" s="633">
        <v>17</v>
      </c>
      <c r="G46" s="20">
        <f t="shared" si="2"/>
        <v>0</v>
      </c>
      <c r="H46" s="59">
        <f t="shared" si="3"/>
        <v>0</v>
      </c>
      <c r="J46" s="4"/>
      <c r="M46" s="439"/>
    </row>
    <row r="47" spans="1:14" ht="16.05" customHeight="1" thickTop="1" thickBot="1" x14ac:dyDescent="0.25">
      <c r="A47" s="805" t="s">
        <v>18</v>
      </c>
      <c r="B47" s="806"/>
      <c r="C47" s="806"/>
      <c r="D47" s="806"/>
      <c r="E47" s="806"/>
      <c r="F47" s="806"/>
      <c r="G47" s="28">
        <f>SUM(G21:G46)</f>
        <v>0</v>
      </c>
      <c r="M47" s="439"/>
    </row>
    <row r="48" spans="1:14" ht="16.05" customHeight="1" thickTop="1" thickBot="1" x14ac:dyDescent="0.25">
      <c r="A48" s="47">
        <v>0</v>
      </c>
      <c r="B48" s="744" t="s">
        <v>70</v>
      </c>
      <c r="C48" s="807"/>
      <c r="D48" s="807"/>
      <c r="E48" s="807"/>
      <c r="F48" s="807"/>
      <c r="G48" s="77">
        <f>G47*(1-A48)</f>
        <v>0</v>
      </c>
    </row>
    <row r="49" spans="1:7" ht="16.05" customHeight="1" thickTop="1" thickBot="1" x14ac:dyDescent="0.25">
      <c r="A49" s="30" t="s">
        <v>19</v>
      </c>
      <c r="B49" s="31"/>
      <c r="C49" s="31"/>
      <c r="D49" s="31"/>
      <c r="E49" s="31"/>
      <c r="F49" s="32"/>
      <c r="G49" s="29">
        <f>G48*1.21</f>
        <v>0</v>
      </c>
    </row>
    <row r="50" spans="1:7" ht="16.05" customHeight="1" thickTop="1" x14ac:dyDescent="0.2">
      <c r="A50" s="2"/>
      <c r="B50" s="49"/>
      <c r="C50" s="49"/>
      <c r="D50" s="49"/>
      <c r="E50" s="49"/>
      <c r="F50" s="49"/>
      <c r="G50" s="52"/>
    </row>
    <row r="51" spans="1:7" ht="16.05" customHeight="1" x14ac:dyDescent="0.2">
      <c r="A51" s="732" t="s">
        <v>20</v>
      </c>
      <c r="B51" s="763"/>
      <c r="C51" s="763"/>
      <c r="D51" s="763"/>
      <c r="E51" s="763"/>
      <c r="F51" s="763"/>
      <c r="G51" s="763"/>
    </row>
    <row r="52" spans="1:7" ht="28.5" customHeight="1" x14ac:dyDescent="0.3">
      <c r="A52" s="733" t="s">
        <v>141</v>
      </c>
      <c r="B52" s="748"/>
      <c r="C52" s="748"/>
      <c r="D52" s="748"/>
      <c r="E52" s="748"/>
      <c r="F52" s="748"/>
      <c r="G52" s="748"/>
    </row>
    <row r="53" spans="1:7" ht="16.05" customHeight="1" x14ac:dyDescent="0.3">
      <c r="A53" s="733" t="s">
        <v>461</v>
      </c>
      <c r="B53" s="748"/>
      <c r="C53" s="748"/>
      <c r="D53" s="70">
        <f>SUM(M21:M34)/1000</f>
        <v>0</v>
      </c>
      <c r="E53" s="67"/>
      <c r="F53" s="67"/>
      <c r="G53" s="67"/>
    </row>
    <row r="54" spans="1:7" ht="10.5" customHeight="1" x14ac:dyDescent="0.2"/>
    <row r="55" spans="1:7" ht="16.05" customHeight="1" x14ac:dyDescent="0.2">
      <c r="A55" s="2" t="s">
        <v>21</v>
      </c>
      <c r="B55" s="3"/>
      <c r="C55" s="3"/>
      <c r="D55" s="3"/>
      <c r="E55" s="3"/>
      <c r="F55" s="3"/>
      <c r="G55" s="3"/>
    </row>
    <row r="56" spans="1:7" ht="16.05" customHeight="1" x14ac:dyDescent="0.2">
      <c r="A56" s="732" t="s">
        <v>142</v>
      </c>
      <c r="B56" s="763"/>
      <c r="C56" s="763"/>
      <c r="D56" s="763"/>
      <c r="E56" s="763"/>
      <c r="F56" s="763"/>
      <c r="G56" s="763"/>
    </row>
    <row r="57" spans="1:7" ht="16.05" customHeight="1" x14ac:dyDescent="0.3">
      <c r="A57" s="732" t="s">
        <v>22</v>
      </c>
      <c r="B57" s="740"/>
      <c r="C57" s="740"/>
      <c r="D57" s="740"/>
      <c r="E57" s="740"/>
      <c r="F57" s="740"/>
      <c r="G57" s="740"/>
    </row>
    <row r="58" spans="1:7" ht="16.05" customHeight="1" x14ac:dyDescent="0.2">
      <c r="A58" s="732" t="s">
        <v>23</v>
      </c>
      <c r="B58" s="763"/>
      <c r="C58" s="763"/>
      <c r="D58" s="763"/>
      <c r="E58" s="763"/>
      <c r="F58" s="763"/>
      <c r="G58" s="763"/>
    </row>
    <row r="59" spans="1:7" ht="16.05" customHeight="1" x14ac:dyDescent="0.3">
      <c r="A59" s="732"/>
      <c r="B59" s="740"/>
      <c r="C59" s="740"/>
      <c r="D59" s="740"/>
      <c r="E59" s="740"/>
      <c r="F59" s="740"/>
      <c r="G59" s="740"/>
    </row>
    <row r="60" spans="1:7" ht="16.05" customHeight="1" x14ac:dyDescent="0.3">
      <c r="A60" s="66"/>
      <c r="B60"/>
      <c r="C60"/>
      <c r="D60"/>
      <c r="E60"/>
      <c r="F60"/>
      <c r="G60"/>
    </row>
    <row r="61" spans="1:7" ht="16.05" customHeight="1" x14ac:dyDescent="0.3">
      <c r="B61" s="1" t="s">
        <v>11</v>
      </c>
      <c r="C61" s="2"/>
      <c r="D61"/>
      <c r="E61"/>
      <c r="F61"/>
      <c r="G61"/>
    </row>
    <row r="62" spans="1:7" ht="16.05" customHeight="1" x14ac:dyDescent="0.3">
      <c r="B62" s="749"/>
      <c r="C62" s="750"/>
      <c r="D62"/>
      <c r="E62"/>
      <c r="F62"/>
      <c r="G62"/>
    </row>
    <row r="63" spans="1:7" ht="16.05" customHeight="1" x14ac:dyDescent="0.3">
      <c r="B63" s="749"/>
      <c r="C63" s="750"/>
      <c r="D63"/>
      <c r="E63"/>
      <c r="F63"/>
      <c r="G63"/>
    </row>
    <row r="64" spans="1:7" ht="16.05" customHeight="1" x14ac:dyDescent="0.3">
      <c r="B64" s="76"/>
      <c r="D64"/>
      <c r="E64"/>
      <c r="F64"/>
      <c r="G64"/>
    </row>
    <row r="65" spans="1:29" ht="16.05" customHeight="1" x14ac:dyDescent="0.3">
      <c r="B65" s="76" t="s">
        <v>12</v>
      </c>
      <c r="D65"/>
      <c r="E65"/>
      <c r="F65"/>
      <c r="G65"/>
      <c r="I65" s="587"/>
      <c r="J65" s="587"/>
      <c r="K65" s="587"/>
      <c r="L65" s="587"/>
      <c r="M65" s="587"/>
      <c r="N65" s="587"/>
      <c r="O65" s="587"/>
      <c r="P65" s="587"/>
      <c r="Q65" s="587"/>
      <c r="R65" s="590" t="s">
        <v>135</v>
      </c>
      <c r="S65" s="587"/>
      <c r="T65" s="587"/>
      <c r="U65" s="587"/>
      <c r="V65" s="587"/>
      <c r="W65" s="587"/>
      <c r="X65" s="587"/>
      <c r="Y65" s="587"/>
      <c r="Z65" s="587"/>
      <c r="AA65" s="587"/>
      <c r="AB65" s="587"/>
      <c r="AC65" s="587"/>
    </row>
    <row r="66" spans="1:29" ht="34.5" customHeight="1" x14ac:dyDescent="0.2">
      <c r="I66" s="587"/>
      <c r="J66" s="587"/>
      <c r="K66" s="587"/>
      <c r="L66" s="587"/>
      <c r="M66" s="587"/>
      <c r="N66" s="587"/>
      <c r="O66" s="587"/>
      <c r="P66" s="587"/>
      <c r="Q66" s="587"/>
      <c r="R66" s="587"/>
      <c r="S66" s="587"/>
      <c r="T66" s="587"/>
      <c r="U66" s="587"/>
      <c r="V66" s="587"/>
      <c r="W66" s="587"/>
      <c r="X66" s="587"/>
      <c r="Y66" s="587"/>
      <c r="Z66" s="587"/>
      <c r="AA66" s="587"/>
      <c r="AB66" s="587"/>
      <c r="AC66" s="587"/>
    </row>
    <row r="67" spans="1:29" ht="34.5" customHeight="1" x14ac:dyDescent="0.2">
      <c r="I67" s="587"/>
      <c r="J67" s="587"/>
      <c r="K67" s="587"/>
      <c r="L67" s="587"/>
      <c r="M67" s="587"/>
      <c r="N67" s="587"/>
      <c r="O67" s="587"/>
      <c r="P67" s="587"/>
      <c r="Q67" s="587"/>
      <c r="R67" s="587"/>
      <c r="S67" s="587"/>
      <c r="T67" s="587"/>
      <c r="U67" s="587"/>
      <c r="V67" s="587"/>
      <c r="W67" s="587"/>
      <c r="X67" s="587"/>
      <c r="Y67" s="587"/>
      <c r="Z67" s="587"/>
      <c r="AA67" s="587"/>
      <c r="AB67" s="587"/>
      <c r="AC67" s="587"/>
    </row>
    <row r="68" spans="1:29" ht="54.75" customHeight="1" x14ac:dyDescent="0.4">
      <c r="A68" s="742"/>
      <c r="B68" s="803"/>
      <c r="C68" s="803"/>
      <c r="D68" s="803"/>
      <c r="E68" s="803"/>
      <c r="F68" s="803"/>
      <c r="G68" s="804"/>
      <c r="I68" s="586" t="s">
        <v>125</v>
      </c>
      <c r="J68" s="597" t="s">
        <v>126</v>
      </c>
      <c r="K68" s="586" t="s">
        <v>123</v>
      </c>
      <c r="L68" s="586" t="s">
        <v>133</v>
      </c>
      <c r="M68" s="586" t="s">
        <v>146</v>
      </c>
      <c r="N68" s="586" t="s">
        <v>147</v>
      </c>
      <c r="O68" s="586" t="s">
        <v>148</v>
      </c>
      <c r="P68" s="586" t="s">
        <v>149</v>
      </c>
      <c r="Q68" s="586" t="s">
        <v>159</v>
      </c>
      <c r="R68" s="586" t="s">
        <v>134</v>
      </c>
      <c r="S68" s="584" t="s">
        <v>124</v>
      </c>
      <c r="T68" s="587"/>
      <c r="U68" s="587"/>
      <c r="V68" s="586" t="s">
        <v>123</v>
      </c>
      <c r="W68" s="586" t="s">
        <v>133</v>
      </c>
      <c r="X68" s="586" t="s">
        <v>133</v>
      </c>
      <c r="Y68" s="586" t="s">
        <v>133</v>
      </c>
      <c r="Z68" s="586"/>
      <c r="AA68" s="586" t="s">
        <v>134</v>
      </c>
      <c r="AB68" s="584" t="s">
        <v>124</v>
      </c>
      <c r="AC68" s="587"/>
    </row>
    <row r="69" spans="1:29" ht="15" customHeight="1" x14ac:dyDescent="0.4">
      <c r="A69" s="588"/>
      <c r="B69" s="594"/>
      <c r="C69" s="594"/>
      <c r="D69" s="594"/>
      <c r="E69" s="594"/>
      <c r="F69" s="594"/>
      <c r="G69" s="595"/>
      <c r="I69" s="586"/>
      <c r="J69" s="597"/>
      <c r="K69" s="586">
        <v>1</v>
      </c>
      <c r="L69" s="586">
        <v>300</v>
      </c>
      <c r="M69" s="586"/>
      <c r="N69" s="586"/>
      <c r="O69" s="586"/>
      <c r="P69" s="586"/>
      <c r="Q69" s="586"/>
      <c r="R69" s="584">
        <f t="shared" ref="R69:R100" si="4">L69+M69+N69+O69+P69+Q69</f>
        <v>300</v>
      </c>
      <c r="S69" s="598">
        <f t="shared" ref="S69:S100" si="5">R69/K69</f>
        <v>300</v>
      </c>
      <c r="T69" s="587"/>
      <c r="U69" s="587"/>
      <c r="V69" s="586"/>
      <c r="W69" s="586"/>
      <c r="X69" s="586"/>
      <c r="Y69" s="586"/>
      <c r="Z69" s="586"/>
      <c r="AA69" s="586"/>
      <c r="AB69" s="584"/>
      <c r="AC69" s="587"/>
    </row>
    <row r="70" spans="1:29" ht="19.5" customHeight="1" x14ac:dyDescent="0.4">
      <c r="A70" s="588"/>
      <c r="B70" s="594"/>
      <c r="C70" s="594"/>
      <c r="D70" s="594"/>
      <c r="E70" s="594"/>
      <c r="F70" s="594"/>
      <c r="G70" s="595"/>
      <c r="I70" s="586"/>
      <c r="J70" s="597"/>
      <c r="K70" s="586">
        <v>1.4</v>
      </c>
      <c r="L70" s="586">
        <v>300</v>
      </c>
      <c r="M70" s="586"/>
      <c r="N70" s="586"/>
      <c r="O70" s="586"/>
      <c r="P70" s="586"/>
      <c r="Q70" s="586"/>
      <c r="R70" s="584">
        <f t="shared" si="4"/>
        <v>300</v>
      </c>
      <c r="S70" s="598">
        <f t="shared" si="5"/>
        <v>214.28571428571431</v>
      </c>
      <c r="T70" s="587"/>
      <c r="U70" s="587"/>
      <c r="V70" s="586"/>
      <c r="W70" s="586"/>
      <c r="X70" s="586"/>
      <c r="Y70" s="586"/>
      <c r="Z70" s="586"/>
      <c r="AA70" s="586"/>
      <c r="AB70" s="584"/>
      <c r="AC70" s="587"/>
    </row>
    <row r="71" spans="1:29" ht="14.25" customHeight="1" x14ac:dyDescent="0.2">
      <c r="A71" s="752"/>
      <c r="B71" s="799"/>
      <c r="C71" s="799"/>
      <c r="D71" s="799"/>
      <c r="E71" s="799"/>
      <c r="F71" s="799"/>
      <c r="G71" s="800"/>
      <c r="I71" s="584" t="s">
        <v>127</v>
      </c>
      <c r="J71" s="591" t="s">
        <v>128</v>
      </c>
      <c r="K71" s="586">
        <v>1.5</v>
      </c>
      <c r="L71" s="586">
        <v>450</v>
      </c>
      <c r="M71" s="586"/>
      <c r="N71" s="586"/>
      <c r="O71" s="586"/>
      <c r="P71" s="586"/>
      <c r="Q71" s="586"/>
      <c r="R71" s="584">
        <f t="shared" si="4"/>
        <v>450</v>
      </c>
      <c r="S71" s="598">
        <f t="shared" si="5"/>
        <v>300</v>
      </c>
      <c r="T71" s="587"/>
      <c r="U71" s="587"/>
      <c r="V71" s="586">
        <v>2</v>
      </c>
      <c r="W71" s="586">
        <v>450</v>
      </c>
      <c r="X71" s="586"/>
      <c r="Y71" s="586"/>
      <c r="Z71" s="586"/>
      <c r="AA71" s="584">
        <f t="shared" ref="AA71:AA102" si="6">W71+X71+Y71</f>
        <v>450</v>
      </c>
      <c r="AB71" s="599">
        <f t="shared" ref="AB71:AB102" si="7">AA71/V71</f>
        <v>225</v>
      </c>
      <c r="AC71" s="587"/>
    </row>
    <row r="72" spans="1:29" ht="26.25" customHeight="1" x14ac:dyDescent="0.2">
      <c r="A72" s="752"/>
      <c r="B72" s="801"/>
      <c r="C72" s="801"/>
      <c r="D72" s="801"/>
      <c r="E72" s="801"/>
      <c r="F72" s="801"/>
      <c r="G72" s="801"/>
      <c r="I72" s="592"/>
      <c r="J72" s="591" t="s">
        <v>129</v>
      </c>
      <c r="K72" s="586">
        <v>1.9</v>
      </c>
      <c r="L72" s="586">
        <v>450</v>
      </c>
      <c r="M72" s="586"/>
      <c r="N72" s="586"/>
      <c r="O72" s="586"/>
      <c r="P72" s="586"/>
      <c r="Q72" s="586"/>
      <c r="R72" s="584">
        <f t="shared" si="4"/>
        <v>450</v>
      </c>
      <c r="S72" s="598">
        <f t="shared" si="5"/>
        <v>236.84210526315792</v>
      </c>
      <c r="T72" s="587"/>
      <c r="U72" s="587"/>
      <c r="V72" s="586">
        <v>2.2000000000000002</v>
      </c>
      <c r="W72" s="586">
        <v>450</v>
      </c>
      <c r="X72" s="586"/>
      <c r="Y72" s="586"/>
      <c r="Z72" s="586"/>
      <c r="AA72" s="584">
        <f t="shared" si="6"/>
        <v>450</v>
      </c>
      <c r="AB72" s="599">
        <f t="shared" si="7"/>
        <v>204.54545454545453</v>
      </c>
      <c r="AC72" s="587"/>
    </row>
    <row r="73" spans="1:29" ht="18" customHeight="1" x14ac:dyDescent="0.2">
      <c r="A73" s="752"/>
      <c r="B73" s="799"/>
      <c r="C73" s="799"/>
      <c r="D73" s="799"/>
      <c r="E73" s="799"/>
      <c r="F73" s="799"/>
      <c r="G73" s="800"/>
      <c r="I73" s="586" t="s">
        <v>130</v>
      </c>
      <c r="J73" s="591" t="s">
        <v>131</v>
      </c>
      <c r="K73" s="586">
        <v>2</v>
      </c>
      <c r="L73" s="586">
        <v>600</v>
      </c>
      <c r="M73" s="586"/>
      <c r="N73" s="586"/>
      <c r="O73" s="586"/>
      <c r="P73" s="586"/>
      <c r="Q73" s="586"/>
      <c r="R73" s="584">
        <f t="shared" si="4"/>
        <v>600</v>
      </c>
      <c r="S73" s="598">
        <f t="shared" si="5"/>
        <v>300</v>
      </c>
      <c r="T73" s="587"/>
      <c r="U73" s="587"/>
      <c r="V73" s="586">
        <v>2.2999999999999998</v>
      </c>
      <c r="W73" s="586">
        <v>600</v>
      </c>
      <c r="X73" s="586"/>
      <c r="Y73" s="586"/>
      <c r="Z73" s="586"/>
      <c r="AA73" s="584">
        <f t="shared" si="6"/>
        <v>600</v>
      </c>
      <c r="AB73" s="599">
        <f t="shared" si="7"/>
        <v>260.86956521739131</v>
      </c>
      <c r="AC73" s="587"/>
    </row>
    <row r="74" spans="1:29" ht="27.75" customHeight="1" x14ac:dyDescent="0.3">
      <c r="A74" s="752"/>
      <c r="B74" s="802"/>
      <c r="C74" s="802"/>
      <c r="D74" s="802"/>
      <c r="E74" s="802"/>
      <c r="F74" s="802"/>
      <c r="G74" s="802"/>
      <c r="I74" s="592"/>
      <c r="J74" s="591" t="s">
        <v>132</v>
      </c>
      <c r="K74" s="586">
        <v>2.7</v>
      </c>
      <c r="L74" s="586">
        <v>600</v>
      </c>
      <c r="M74" s="586"/>
      <c r="N74" s="586"/>
      <c r="O74" s="586"/>
      <c r="P74" s="586"/>
      <c r="Q74" s="586"/>
      <c r="R74" s="584">
        <f t="shared" si="4"/>
        <v>600</v>
      </c>
      <c r="S74" s="598">
        <f t="shared" si="5"/>
        <v>222.2222222222222</v>
      </c>
      <c r="T74" s="587"/>
      <c r="U74" s="587"/>
      <c r="V74" s="586">
        <v>2.9</v>
      </c>
      <c r="W74" s="586">
        <v>600</v>
      </c>
      <c r="X74" s="586"/>
      <c r="Y74" s="586"/>
      <c r="Z74" s="586"/>
      <c r="AA74" s="584">
        <f t="shared" si="6"/>
        <v>600</v>
      </c>
      <c r="AB74" s="599">
        <f t="shared" si="7"/>
        <v>206.89655172413794</v>
      </c>
      <c r="AC74" s="587"/>
    </row>
    <row r="75" spans="1:29" ht="12.75" customHeight="1" x14ac:dyDescent="0.3">
      <c r="A75" s="752"/>
      <c r="B75" s="802"/>
      <c r="C75" s="802"/>
      <c r="D75" s="802"/>
      <c r="E75" s="802"/>
      <c r="F75" s="802"/>
      <c r="G75" s="802"/>
      <c r="I75" s="587"/>
      <c r="J75" s="587"/>
      <c r="K75" s="586">
        <v>2.8</v>
      </c>
      <c r="L75" s="586">
        <v>750</v>
      </c>
      <c r="M75" s="586"/>
      <c r="N75" s="586"/>
      <c r="O75" s="586"/>
      <c r="P75" s="586"/>
      <c r="Q75" s="586"/>
      <c r="R75" s="584">
        <f t="shared" si="4"/>
        <v>750</v>
      </c>
      <c r="S75" s="598">
        <f t="shared" si="5"/>
        <v>267.85714285714289</v>
      </c>
      <c r="T75" s="587"/>
      <c r="U75" s="587"/>
      <c r="V75" s="586">
        <v>3</v>
      </c>
      <c r="W75" s="586">
        <v>750</v>
      </c>
      <c r="X75" s="586"/>
      <c r="Y75" s="586"/>
      <c r="Z75" s="586"/>
      <c r="AA75" s="584">
        <f t="shared" si="6"/>
        <v>750</v>
      </c>
      <c r="AB75" s="599">
        <f t="shared" si="7"/>
        <v>250</v>
      </c>
      <c r="AC75" s="587"/>
    </row>
    <row r="76" spans="1:29" ht="12.75" customHeight="1" x14ac:dyDescent="0.3">
      <c r="A76" s="752"/>
      <c r="B76" s="802"/>
      <c r="C76" s="802"/>
      <c r="D76" s="802"/>
      <c r="E76" s="802"/>
      <c r="F76" s="802"/>
      <c r="G76" s="802"/>
      <c r="I76" s="587"/>
      <c r="J76" s="587"/>
      <c r="K76" s="586">
        <v>3.1</v>
      </c>
      <c r="L76" s="586">
        <v>750</v>
      </c>
      <c r="M76" s="586"/>
      <c r="N76" s="586"/>
      <c r="O76" s="586"/>
      <c r="P76" s="586"/>
      <c r="Q76" s="586"/>
      <c r="R76" s="584">
        <f t="shared" si="4"/>
        <v>750</v>
      </c>
      <c r="S76" s="598">
        <f t="shared" si="5"/>
        <v>241.93548387096774</v>
      </c>
      <c r="T76" s="587"/>
      <c r="U76" s="587"/>
      <c r="V76" s="586">
        <v>3.6</v>
      </c>
      <c r="W76" s="586">
        <v>750</v>
      </c>
      <c r="X76" s="586"/>
      <c r="Y76" s="586"/>
      <c r="Z76" s="586"/>
      <c r="AA76" s="584">
        <f t="shared" si="6"/>
        <v>750</v>
      </c>
      <c r="AB76" s="599">
        <f t="shared" si="7"/>
        <v>208.33333333333331</v>
      </c>
      <c r="AC76" s="587"/>
    </row>
    <row r="77" spans="1:29" ht="12.75" customHeight="1" x14ac:dyDescent="0.3">
      <c r="A77" s="752"/>
      <c r="B77" s="802"/>
      <c r="C77" s="802"/>
      <c r="D77" s="802"/>
      <c r="E77" s="802"/>
      <c r="F77" s="802"/>
      <c r="G77" s="802"/>
      <c r="I77" s="587"/>
      <c r="J77" s="587"/>
      <c r="K77" s="586">
        <v>3.2</v>
      </c>
      <c r="L77" s="586">
        <v>900</v>
      </c>
      <c r="M77" s="586"/>
      <c r="N77" s="586"/>
      <c r="O77" s="586"/>
      <c r="P77" s="586"/>
      <c r="Q77" s="586"/>
      <c r="R77" s="584">
        <f t="shared" si="4"/>
        <v>900</v>
      </c>
      <c r="S77" s="598">
        <f t="shared" si="5"/>
        <v>281.25</v>
      </c>
      <c r="T77" s="587"/>
      <c r="U77" s="587"/>
      <c r="V77" s="586">
        <v>3.7</v>
      </c>
      <c r="W77" s="586">
        <v>900</v>
      </c>
      <c r="X77" s="586"/>
      <c r="Y77" s="586"/>
      <c r="Z77" s="586"/>
      <c r="AA77" s="584">
        <f t="shared" si="6"/>
        <v>900</v>
      </c>
      <c r="AB77" s="599">
        <f t="shared" si="7"/>
        <v>243.24324324324323</v>
      </c>
      <c r="AC77" s="587"/>
    </row>
    <row r="78" spans="1:29" ht="12.75" customHeight="1" x14ac:dyDescent="0.2">
      <c r="A78" s="752"/>
      <c r="B78" s="800"/>
      <c r="C78" s="800"/>
      <c r="D78" s="800"/>
      <c r="E78" s="800"/>
      <c r="F78" s="800"/>
      <c r="G78" s="800"/>
      <c r="I78" s="587"/>
      <c r="J78" s="587"/>
      <c r="K78" s="586">
        <v>4</v>
      </c>
      <c r="L78" s="586">
        <v>900</v>
      </c>
      <c r="M78" s="586"/>
      <c r="N78" s="586"/>
      <c r="O78" s="586"/>
      <c r="P78" s="586"/>
      <c r="Q78" s="586"/>
      <c r="R78" s="584">
        <f t="shared" si="4"/>
        <v>900</v>
      </c>
      <c r="S78" s="598">
        <f t="shared" si="5"/>
        <v>225</v>
      </c>
      <c r="T78" s="587"/>
      <c r="U78" s="587"/>
      <c r="V78" s="586">
        <v>4.5</v>
      </c>
      <c r="W78" s="586">
        <v>900</v>
      </c>
      <c r="X78" s="586"/>
      <c r="Y78" s="586"/>
      <c r="Z78" s="586"/>
      <c r="AA78" s="584">
        <f t="shared" si="6"/>
        <v>900</v>
      </c>
      <c r="AB78" s="599">
        <f t="shared" si="7"/>
        <v>200</v>
      </c>
      <c r="AC78" s="587"/>
    </row>
    <row r="79" spans="1:29" ht="26.25" customHeight="1" x14ac:dyDescent="0.2">
      <c r="A79" s="752"/>
      <c r="B79" s="799"/>
      <c r="C79" s="799"/>
      <c r="D79" s="799"/>
      <c r="E79" s="799"/>
      <c r="F79" s="799"/>
      <c r="G79" s="800"/>
      <c r="I79" s="587"/>
      <c r="J79" s="587"/>
      <c r="K79" s="586">
        <v>4.0999999999999996</v>
      </c>
      <c r="L79" s="586">
        <v>1200</v>
      </c>
      <c r="M79" s="586"/>
      <c r="N79" s="586"/>
      <c r="O79" s="586"/>
      <c r="P79" s="586"/>
      <c r="Q79" s="586"/>
      <c r="R79" s="584">
        <f t="shared" si="4"/>
        <v>1200</v>
      </c>
      <c r="S79" s="598">
        <f t="shared" si="5"/>
        <v>292.6829268292683</v>
      </c>
      <c r="T79" s="587"/>
      <c r="U79" s="587"/>
      <c r="V79" s="586">
        <v>4.5999999999999996</v>
      </c>
      <c r="W79" s="586">
        <v>1200</v>
      </c>
      <c r="X79" s="586"/>
      <c r="Y79" s="586"/>
      <c r="Z79" s="586"/>
      <c r="AA79" s="584">
        <f t="shared" si="6"/>
        <v>1200</v>
      </c>
      <c r="AB79" s="599">
        <f t="shared" si="7"/>
        <v>260.86956521739131</v>
      </c>
      <c r="AC79" s="587"/>
    </row>
    <row r="80" spans="1:29" ht="12.75" customHeight="1" x14ac:dyDescent="0.2">
      <c r="A80" s="63"/>
      <c r="B80" s="63"/>
      <c r="C80" s="63"/>
      <c r="D80" s="63"/>
      <c r="E80" s="63"/>
      <c r="F80" s="63"/>
      <c r="G80" s="63"/>
      <c r="I80" s="587"/>
      <c r="J80" s="587"/>
      <c r="K80" s="586">
        <v>5.0999999999999996</v>
      </c>
      <c r="L80" s="586">
        <v>1200</v>
      </c>
      <c r="M80" s="586"/>
      <c r="N80" s="586"/>
      <c r="O80" s="586"/>
      <c r="P80" s="586"/>
      <c r="Q80" s="586"/>
      <c r="R80" s="584">
        <f t="shared" si="4"/>
        <v>1200</v>
      </c>
      <c r="S80" s="598">
        <f t="shared" si="5"/>
        <v>235.29411764705884</v>
      </c>
      <c r="T80" s="587"/>
      <c r="U80" s="587"/>
      <c r="V80" s="586">
        <v>5.8</v>
      </c>
      <c r="W80" s="586">
        <v>1200</v>
      </c>
      <c r="X80" s="586"/>
      <c r="Y80" s="586"/>
      <c r="Z80" s="586"/>
      <c r="AA80" s="584">
        <f t="shared" si="6"/>
        <v>1200</v>
      </c>
      <c r="AB80" s="599">
        <f t="shared" si="7"/>
        <v>206.89655172413794</v>
      </c>
      <c r="AC80" s="587"/>
    </row>
    <row r="81" spans="1:29" x14ac:dyDescent="0.2">
      <c r="A81" s="63"/>
      <c r="B81" s="63"/>
      <c r="C81" s="63"/>
      <c r="D81" s="63"/>
      <c r="E81" s="63"/>
      <c r="F81" s="63"/>
      <c r="G81" s="63"/>
      <c r="I81" s="587"/>
      <c r="J81" s="587"/>
      <c r="K81" s="586">
        <v>5.2</v>
      </c>
      <c r="L81" s="586">
        <v>1500</v>
      </c>
      <c r="M81" s="586"/>
      <c r="N81" s="586"/>
      <c r="O81" s="586"/>
      <c r="P81" s="586"/>
      <c r="Q81" s="586"/>
      <c r="R81" s="584">
        <f t="shared" si="4"/>
        <v>1500</v>
      </c>
      <c r="S81" s="598">
        <f t="shared" si="5"/>
        <v>288.46153846153845</v>
      </c>
      <c r="T81" s="587"/>
      <c r="U81" s="587"/>
      <c r="V81" s="586">
        <v>5.9</v>
      </c>
      <c r="W81" s="586">
        <v>1500</v>
      </c>
      <c r="X81" s="586"/>
      <c r="Y81" s="586"/>
      <c r="Z81" s="586"/>
      <c r="AA81" s="584">
        <f t="shared" si="6"/>
        <v>1500</v>
      </c>
      <c r="AB81" s="599">
        <f t="shared" si="7"/>
        <v>254.23728813559322</v>
      </c>
      <c r="AC81" s="587"/>
    </row>
    <row r="82" spans="1:29" ht="12.75" customHeight="1" x14ac:dyDescent="0.3">
      <c r="A82" s="753"/>
      <c r="B82" s="808"/>
      <c r="C82" s="808"/>
      <c r="D82" s="808"/>
      <c r="E82" s="808"/>
      <c r="F82" s="808"/>
      <c r="G82" s="808"/>
      <c r="I82" s="587"/>
      <c r="J82" s="587"/>
      <c r="K82" s="586">
        <v>6.3</v>
      </c>
      <c r="L82" s="586">
        <v>1500</v>
      </c>
      <c r="M82" s="586"/>
      <c r="N82" s="586"/>
      <c r="O82" s="586"/>
      <c r="P82" s="586"/>
      <c r="Q82" s="586"/>
      <c r="R82" s="584">
        <f t="shared" si="4"/>
        <v>1500</v>
      </c>
      <c r="S82" s="598">
        <f t="shared" si="5"/>
        <v>238.0952380952381</v>
      </c>
      <c r="T82" s="587"/>
      <c r="U82" s="587"/>
      <c r="V82" s="586">
        <v>6</v>
      </c>
      <c r="W82" s="586">
        <v>1500</v>
      </c>
      <c r="X82" s="586"/>
      <c r="Y82" s="586"/>
      <c r="Z82" s="586"/>
      <c r="AA82" s="584">
        <f t="shared" si="6"/>
        <v>1500</v>
      </c>
      <c r="AB82" s="599">
        <f t="shared" si="7"/>
        <v>250</v>
      </c>
      <c r="AC82" s="587"/>
    </row>
    <row r="83" spans="1:29" ht="12.75" customHeight="1" x14ac:dyDescent="0.3">
      <c r="A83" s="753"/>
      <c r="B83" s="808"/>
      <c r="C83" s="808"/>
      <c r="D83" s="808"/>
      <c r="E83" s="808"/>
      <c r="F83" s="808"/>
      <c r="G83" s="808"/>
      <c r="I83" s="587"/>
      <c r="J83" s="587"/>
      <c r="K83" s="586">
        <v>6.4</v>
      </c>
      <c r="L83" s="586">
        <v>1800</v>
      </c>
      <c r="M83" s="586"/>
      <c r="N83" s="586"/>
      <c r="O83" s="586"/>
      <c r="P83" s="586"/>
      <c r="Q83" s="586"/>
      <c r="R83" s="584">
        <f t="shared" si="4"/>
        <v>1800</v>
      </c>
      <c r="S83" s="598">
        <f t="shared" si="5"/>
        <v>281.25</v>
      </c>
      <c r="T83" s="587"/>
      <c r="U83" s="587"/>
      <c r="V83" s="586">
        <v>7</v>
      </c>
      <c r="W83" s="586">
        <v>1800</v>
      </c>
      <c r="X83" s="586"/>
      <c r="Y83" s="586"/>
      <c r="Z83" s="586"/>
      <c r="AA83" s="584">
        <f t="shared" si="6"/>
        <v>1800</v>
      </c>
      <c r="AB83" s="599">
        <f t="shared" si="7"/>
        <v>257.14285714285717</v>
      </c>
      <c r="AC83" s="587"/>
    </row>
    <row r="84" spans="1:29" ht="12.75" customHeight="1" x14ac:dyDescent="0.2">
      <c r="A84" s="752"/>
      <c r="B84" s="799"/>
      <c r="C84" s="799"/>
      <c r="D84" s="799"/>
      <c r="E84" s="799"/>
      <c r="F84" s="799"/>
      <c r="G84" s="800"/>
      <c r="I84" s="587"/>
      <c r="J84" s="587"/>
      <c r="K84" s="586">
        <v>7.4</v>
      </c>
      <c r="L84" s="586">
        <v>1800</v>
      </c>
      <c r="M84" s="586"/>
      <c r="N84" s="586"/>
      <c r="O84" s="586"/>
      <c r="P84" s="586"/>
      <c r="Q84" s="586"/>
      <c r="R84" s="584">
        <f t="shared" si="4"/>
        <v>1800</v>
      </c>
      <c r="S84" s="598">
        <f t="shared" si="5"/>
        <v>243.24324324324323</v>
      </c>
      <c r="T84" s="587"/>
      <c r="U84" s="587"/>
      <c r="V84" s="586">
        <v>8.3000000000000007</v>
      </c>
      <c r="W84" s="586">
        <v>1800</v>
      </c>
      <c r="X84" s="586"/>
      <c r="Y84" s="586"/>
      <c r="Z84" s="586"/>
      <c r="AA84" s="584">
        <f t="shared" si="6"/>
        <v>1800</v>
      </c>
      <c r="AB84" s="599">
        <f t="shared" si="7"/>
        <v>216.86746987951804</v>
      </c>
      <c r="AC84" s="587"/>
    </row>
    <row r="85" spans="1:29" ht="25.5" customHeight="1" x14ac:dyDescent="0.2">
      <c r="A85" s="752"/>
      <c r="B85" s="801"/>
      <c r="C85" s="801"/>
      <c r="D85" s="801"/>
      <c r="E85" s="801"/>
      <c r="F85" s="801"/>
      <c r="G85" s="801"/>
      <c r="I85" s="587"/>
      <c r="J85" s="587"/>
      <c r="K85" s="586">
        <v>7.5</v>
      </c>
      <c r="L85" s="586">
        <v>2100</v>
      </c>
      <c r="M85" s="586"/>
      <c r="N85" s="586"/>
      <c r="O85" s="586"/>
      <c r="P85" s="586"/>
      <c r="Q85" s="586"/>
      <c r="R85" s="584">
        <f t="shared" si="4"/>
        <v>2100</v>
      </c>
      <c r="S85" s="598">
        <f t="shared" si="5"/>
        <v>280</v>
      </c>
      <c r="T85" s="587"/>
      <c r="U85" s="587"/>
      <c r="V85" s="586">
        <v>8.4</v>
      </c>
      <c r="W85" s="586">
        <v>2100</v>
      </c>
      <c r="X85" s="586"/>
      <c r="Y85" s="586"/>
      <c r="Z85" s="586"/>
      <c r="AA85" s="584">
        <f t="shared" si="6"/>
        <v>2100</v>
      </c>
      <c r="AB85" s="599">
        <f t="shared" si="7"/>
        <v>250</v>
      </c>
      <c r="AC85" s="587"/>
    </row>
    <row r="86" spans="1:29" ht="12.75" customHeight="1" x14ac:dyDescent="0.3">
      <c r="A86" s="809"/>
      <c r="B86" s="808"/>
      <c r="C86" s="808"/>
      <c r="D86" s="808"/>
      <c r="E86" s="808"/>
      <c r="F86" s="808"/>
      <c r="G86" s="808"/>
      <c r="I86" s="587"/>
      <c r="J86" s="587"/>
      <c r="K86" s="586">
        <v>8.5</v>
      </c>
      <c r="L86" s="586">
        <v>2100</v>
      </c>
      <c r="M86" s="586"/>
      <c r="N86" s="586"/>
      <c r="O86" s="586"/>
      <c r="P86" s="586"/>
      <c r="Q86" s="586"/>
      <c r="R86" s="584">
        <f t="shared" si="4"/>
        <v>2100</v>
      </c>
      <c r="S86" s="598">
        <f t="shared" si="5"/>
        <v>247.05882352941177</v>
      </c>
      <c r="T86" s="587"/>
      <c r="U86" s="587"/>
      <c r="V86" s="586">
        <v>9.5</v>
      </c>
      <c r="W86" s="586">
        <v>2100</v>
      </c>
      <c r="X86" s="586"/>
      <c r="Y86" s="586"/>
      <c r="Z86" s="586"/>
      <c r="AA86" s="584">
        <f t="shared" si="6"/>
        <v>2100</v>
      </c>
      <c r="AB86" s="599">
        <f t="shared" si="7"/>
        <v>221.05263157894737</v>
      </c>
      <c r="AC86" s="587"/>
    </row>
    <row r="87" spans="1:29" ht="12.75" customHeight="1" x14ac:dyDescent="0.3">
      <c r="A87" s="809"/>
      <c r="B87" s="808"/>
      <c r="C87" s="808"/>
      <c r="D87" s="808"/>
      <c r="E87" s="808"/>
      <c r="F87" s="808"/>
      <c r="G87" s="808"/>
      <c r="I87" s="587"/>
      <c r="J87" s="587"/>
      <c r="K87" s="586">
        <v>8.6</v>
      </c>
      <c r="L87" s="586">
        <v>2400</v>
      </c>
      <c r="M87" s="586"/>
      <c r="N87" s="586"/>
      <c r="O87" s="586"/>
      <c r="P87" s="586"/>
      <c r="Q87" s="586"/>
      <c r="R87" s="584">
        <f t="shared" si="4"/>
        <v>2400</v>
      </c>
      <c r="S87" s="598">
        <f t="shared" si="5"/>
        <v>279.06976744186045</v>
      </c>
      <c r="T87" s="587"/>
      <c r="U87" s="587"/>
      <c r="V87" s="586">
        <v>9.6</v>
      </c>
      <c r="W87" s="586">
        <v>2400</v>
      </c>
      <c r="X87" s="586"/>
      <c r="Y87" s="586"/>
      <c r="Z87" s="586"/>
      <c r="AA87" s="584">
        <f t="shared" si="6"/>
        <v>2400</v>
      </c>
      <c r="AB87" s="599">
        <f t="shared" si="7"/>
        <v>250</v>
      </c>
      <c r="AC87" s="587"/>
    </row>
    <row r="88" spans="1:29" ht="12.75" customHeight="1" x14ac:dyDescent="0.3">
      <c r="A88" s="809"/>
      <c r="B88" s="808"/>
      <c r="C88" s="808"/>
      <c r="D88" s="808"/>
      <c r="E88" s="808"/>
      <c r="F88" s="808"/>
      <c r="G88" s="808"/>
      <c r="I88" s="587"/>
      <c r="J88" s="587"/>
      <c r="K88" s="586">
        <v>10.5</v>
      </c>
      <c r="L88" s="584">
        <v>2400</v>
      </c>
      <c r="M88" s="584"/>
      <c r="N88" s="584"/>
      <c r="O88" s="584"/>
      <c r="P88" s="584"/>
      <c r="Q88" s="584"/>
      <c r="R88" s="584">
        <f t="shared" si="4"/>
        <v>2400</v>
      </c>
      <c r="S88" s="598">
        <f t="shared" si="5"/>
        <v>228.57142857142858</v>
      </c>
      <c r="T88" s="587"/>
      <c r="U88" s="587"/>
      <c r="V88" s="586">
        <v>11.8</v>
      </c>
      <c r="W88" s="584">
        <v>2400</v>
      </c>
      <c r="X88" s="584"/>
      <c r="Y88" s="584"/>
      <c r="Z88" s="584"/>
      <c r="AA88" s="584">
        <f t="shared" si="6"/>
        <v>2400</v>
      </c>
      <c r="AB88" s="599">
        <f t="shared" si="7"/>
        <v>203.38983050847457</v>
      </c>
      <c r="AC88" s="587"/>
    </row>
    <row r="89" spans="1:29" x14ac:dyDescent="0.2">
      <c r="I89" s="587"/>
      <c r="J89" s="587"/>
      <c r="K89" s="586">
        <v>10.6</v>
      </c>
      <c r="L89" s="584">
        <v>3000</v>
      </c>
      <c r="M89" s="584"/>
      <c r="N89" s="584"/>
      <c r="O89" s="584"/>
      <c r="P89" s="584"/>
      <c r="Q89" s="584"/>
      <c r="R89" s="584">
        <f t="shared" si="4"/>
        <v>3000</v>
      </c>
      <c r="S89" s="598">
        <f t="shared" si="5"/>
        <v>283.01886792452831</v>
      </c>
      <c r="T89" s="587"/>
      <c r="U89" s="587"/>
      <c r="V89" s="586">
        <v>11.9</v>
      </c>
      <c r="W89" s="584">
        <v>3000</v>
      </c>
      <c r="X89" s="584"/>
      <c r="Y89" s="584"/>
      <c r="Z89" s="584"/>
      <c r="AA89" s="584">
        <f t="shared" si="6"/>
        <v>3000</v>
      </c>
      <c r="AB89" s="599">
        <f t="shared" si="7"/>
        <v>252.10084033613444</v>
      </c>
      <c r="AC89" s="587"/>
    </row>
    <row r="90" spans="1:29" x14ac:dyDescent="0.2">
      <c r="I90" s="587"/>
      <c r="J90" s="587"/>
      <c r="K90" s="586">
        <v>12</v>
      </c>
      <c r="L90" s="584">
        <v>3000</v>
      </c>
      <c r="M90" s="584"/>
      <c r="N90" s="584"/>
      <c r="O90" s="584"/>
      <c r="P90" s="584"/>
      <c r="Q90" s="584"/>
      <c r="R90" s="584">
        <f t="shared" si="4"/>
        <v>3000</v>
      </c>
      <c r="S90" s="598">
        <f t="shared" si="5"/>
        <v>250</v>
      </c>
      <c r="T90" s="587"/>
      <c r="U90" s="587"/>
      <c r="V90" s="586">
        <v>13.5</v>
      </c>
      <c r="W90" s="584">
        <v>3000</v>
      </c>
      <c r="X90" s="584"/>
      <c r="Y90" s="584"/>
      <c r="Z90" s="584"/>
      <c r="AA90" s="584">
        <f t="shared" si="6"/>
        <v>3000</v>
      </c>
      <c r="AB90" s="599">
        <f t="shared" si="7"/>
        <v>222.22222222222223</v>
      </c>
      <c r="AC90" s="587"/>
    </row>
    <row r="91" spans="1:29" ht="14.4" x14ac:dyDescent="0.3">
      <c r="B91"/>
      <c r="G91"/>
      <c r="I91" s="587"/>
      <c r="J91" s="587"/>
      <c r="K91" s="586">
        <v>12.1</v>
      </c>
      <c r="L91" s="584">
        <v>3400</v>
      </c>
      <c r="M91" s="584"/>
      <c r="N91" s="584"/>
      <c r="O91" s="584"/>
      <c r="P91" s="584"/>
      <c r="Q91" s="584"/>
      <c r="R91" s="584">
        <f t="shared" si="4"/>
        <v>3400</v>
      </c>
      <c r="S91" s="598">
        <f t="shared" si="5"/>
        <v>280.9917355371901</v>
      </c>
      <c r="T91" s="587"/>
      <c r="U91" s="587"/>
      <c r="V91" s="586">
        <v>13.6</v>
      </c>
      <c r="W91" s="584">
        <v>3400</v>
      </c>
      <c r="X91" s="584"/>
      <c r="Y91" s="584"/>
      <c r="Z91" s="584"/>
      <c r="AA91" s="584">
        <f t="shared" si="6"/>
        <v>3400</v>
      </c>
      <c r="AB91" s="599">
        <f t="shared" si="7"/>
        <v>250</v>
      </c>
      <c r="AC91" s="587"/>
    </row>
    <row r="92" spans="1:29" x14ac:dyDescent="0.2">
      <c r="I92" s="587"/>
      <c r="J92" s="587"/>
      <c r="K92" s="586">
        <v>12.5</v>
      </c>
      <c r="L92" s="584">
        <v>3400</v>
      </c>
      <c r="M92" s="584"/>
      <c r="N92" s="584"/>
      <c r="O92" s="584"/>
      <c r="P92" s="584"/>
      <c r="Q92" s="584"/>
      <c r="R92" s="584">
        <f t="shared" si="4"/>
        <v>3400</v>
      </c>
      <c r="S92" s="598">
        <f t="shared" si="5"/>
        <v>272</v>
      </c>
      <c r="T92" s="587"/>
      <c r="U92" s="587"/>
      <c r="V92" s="586">
        <v>14.3</v>
      </c>
      <c r="W92" s="584">
        <v>3400</v>
      </c>
      <c r="X92" s="584"/>
      <c r="Y92" s="584"/>
      <c r="Z92" s="584"/>
      <c r="AA92" s="584">
        <f t="shared" si="6"/>
        <v>3400</v>
      </c>
      <c r="AB92" s="599">
        <f t="shared" si="7"/>
        <v>237.76223776223776</v>
      </c>
      <c r="AC92" s="587"/>
    </row>
    <row r="93" spans="1:29" x14ac:dyDescent="0.2">
      <c r="I93" s="587"/>
      <c r="J93" s="587"/>
      <c r="K93" s="586">
        <v>12.6</v>
      </c>
      <c r="L93" s="584">
        <v>3600</v>
      </c>
      <c r="M93" s="584"/>
      <c r="N93" s="584"/>
      <c r="O93" s="584"/>
      <c r="P93" s="584"/>
      <c r="Q93" s="584"/>
      <c r="R93" s="584">
        <f t="shared" si="4"/>
        <v>3600</v>
      </c>
      <c r="S93" s="598">
        <f t="shared" si="5"/>
        <v>285.71428571428572</v>
      </c>
      <c r="T93" s="587"/>
      <c r="U93" s="587"/>
      <c r="V93" s="586">
        <v>14.4</v>
      </c>
      <c r="W93" s="584">
        <v>3600</v>
      </c>
      <c r="X93" s="584"/>
      <c r="Y93" s="584"/>
      <c r="Z93" s="584"/>
      <c r="AA93" s="584">
        <f t="shared" si="6"/>
        <v>3600</v>
      </c>
      <c r="AB93" s="599">
        <f t="shared" si="7"/>
        <v>250</v>
      </c>
      <c r="AC93" s="587"/>
    </row>
    <row r="94" spans="1:29" x14ac:dyDescent="0.2">
      <c r="I94" s="587"/>
      <c r="J94" s="587"/>
      <c r="K94" s="586">
        <v>14</v>
      </c>
      <c r="L94" s="584">
        <v>3600</v>
      </c>
      <c r="M94" s="584"/>
      <c r="N94" s="584"/>
      <c r="O94" s="584"/>
      <c r="P94" s="584"/>
      <c r="Q94" s="584"/>
      <c r="R94" s="584">
        <f t="shared" si="4"/>
        <v>3600</v>
      </c>
      <c r="S94" s="598">
        <f t="shared" si="5"/>
        <v>257.14285714285717</v>
      </c>
      <c r="T94" s="587"/>
      <c r="U94" s="587"/>
      <c r="V94" s="586">
        <v>16.7</v>
      </c>
      <c r="W94" s="584">
        <v>3600</v>
      </c>
      <c r="X94" s="584"/>
      <c r="Y94" s="584"/>
      <c r="Z94" s="584"/>
      <c r="AA94" s="584">
        <f t="shared" si="6"/>
        <v>3600</v>
      </c>
      <c r="AB94" s="599">
        <f t="shared" si="7"/>
        <v>215.56886227544911</v>
      </c>
      <c r="AC94" s="587"/>
    </row>
    <row r="95" spans="1:29" x14ac:dyDescent="0.2">
      <c r="I95" s="587"/>
      <c r="J95" s="587"/>
      <c r="K95" s="586">
        <v>14.1</v>
      </c>
      <c r="L95" s="584">
        <v>1200</v>
      </c>
      <c r="M95" s="584">
        <v>1200</v>
      </c>
      <c r="N95" s="584">
        <v>1500</v>
      </c>
      <c r="O95" s="584"/>
      <c r="P95" s="584"/>
      <c r="Q95" s="584"/>
      <c r="R95" s="584">
        <f t="shared" si="4"/>
        <v>3900</v>
      </c>
      <c r="S95" s="598">
        <f t="shared" si="5"/>
        <v>276.59574468085106</v>
      </c>
      <c r="T95" s="587"/>
      <c r="U95" s="587"/>
      <c r="V95" s="586">
        <v>16.8</v>
      </c>
      <c r="W95" s="584">
        <v>4200</v>
      </c>
      <c r="X95" s="584"/>
      <c r="Y95" s="584"/>
      <c r="Z95" s="584"/>
      <c r="AA95" s="584">
        <f t="shared" si="6"/>
        <v>4200</v>
      </c>
      <c r="AB95" s="599">
        <f t="shared" si="7"/>
        <v>250</v>
      </c>
      <c r="AC95" s="587"/>
    </row>
    <row r="96" spans="1:29" x14ac:dyDescent="0.2">
      <c r="I96" s="587"/>
      <c r="J96" s="587"/>
      <c r="K96" s="586">
        <v>17.399999999999999</v>
      </c>
      <c r="L96" s="584">
        <v>1200</v>
      </c>
      <c r="M96" s="584">
        <v>1200</v>
      </c>
      <c r="N96" s="584">
        <v>1500</v>
      </c>
      <c r="O96" s="584"/>
      <c r="P96" s="584"/>
      <c r="Q96" s="584"/>
      <c r="R96" s="584">
        <f t="shared" si="4"/>
        <v>3900</v>
      </c>
      <c r="S96" s="598">
        <f t="shared" si="5"/>
        <v>224.13793103448279</v>
      </c>
      <c r="T96" s="587"/>
      <c r="U96" s="587"/>
      <c r="V96" s="586">
        <v>19</v>
      </c>
      <c r="W96" s="584">
        <v>4200</v>
      </c>
      <c r="X96" s="584"/>
      <c r="Y96" s="584"/>
      <c r="Z96" s="584"/>
      <c r="AA96" s="584">
        <f t="shared" si="6"/>
        <v>4200</v>
      </c>
      <c r="AB96" s="599">
        <f t="shared" si="7"/>
        <v>221.05263157894737</v>
      </c>
      <c r="AC96" s="587"/>
    </row>
    <row r="97" spans="9:29" x14ac:dyDescent="0.2">
      <c r="I97" s="587"/>
      <c r="J97" s="587"/>
      <c r="K97" s="586">
        <v>17.5</v>
      </c>
      <c r="L97" s="584">
        <v>1200</v>
      </c>
      <c r="M97" s="584">
        <v>1500</v>
      </c>
      <c r="N97" s="584">
        <v>1500</v>
      </c>
      <c r="O97" s="584"/>
      <c r="P97" s="584"/>
      <c r="Q97" s="584"/>
      <c r="R97" s="584">
        <f t="shared" si="4"/>
        <v>4200</v>
      </c>
      <c r="S97" s="598">
        <f t="shared" si="5"/>
        <v>240</v>
      </c>
      <c r="T97" s="587"/>
      <c r="U97" s="587"/>
      <c r="V97" s="586">
        <v>19.100000000000001</v>
      </c>
      <c r="W97" s="584">
        <v>2400</v>
      </c>
      <c r="X97" s="584">
        <v>2400</v>
      </c>
      <c r="Y97" s="584"/>
      <c r="Z97" s="584"/>
      <c r="AA97" s="584">
        <f t="shared" si="6"/>
        <v>4800</v>
      </c>
      <c r="AB97" s="599">
        <f t="shared" si="7"/>
        <v>251.3089005235602</v>
      </c>
      <c r="AC97" s="587"/>
    </row>
    <row r="98" spans="9:29" x14ac:dyDescent="0.2">
      <c r="I98" s="587"/>
      <c r="J98" s="587"/>
      <c r="K98" s="586">
        <v>19.100000000000001</v>
      </c>
      <c r="L98" s="584">
        <v>1200</v>
      </c>
      <c r="M98" s="584">
        <v>1500</v>
      </c>
      <c r="N98" s="584">
        <v>1500</v>
      </c>
      <c r="O98" s="584"/>
      <c r="P98" s="584"/>
      <c r="Q98" s="584"/>
      <c r="R98" s="584">
        <f t="shared" si="4"/>
        <v>4200</v>
      </c>
      <c r="S98" s="598">
        <f t="shared" si="5"/>
        <v>219.89528795811518</v>
      </c>
      <c r="T98" s="587"/>
      <c r="U98" s="587"/>
      <c r="V98" s="586">
        <v>21.5</v>
      </c>
      <c r="W98" s="584">
        <v>2400</v>
      </c>
      <c r="X98" s="584">
        <v>2400</v>
      </c>
      <c r="Y98" s="584"/>
      <c r="Z98" s="584"/>
      <c r="AA98" s="584">
        <f t="shared" si="6"/>
        <v>4800</v>
      </c>
      <c r="AB98" s="599">
        <f t="shared" si="7"/>
        <v>223.25581395348837</v>
      </c>
      <c r="AC98" s="587"/>
    </row>
    <row r="99" spans="9:29" x14ac:dyDescent="0.2">
      <c r="I99" s="587"/>
      <c r="J99" s="587"/>
      <c r="K99" s="586">
        <v>19.2</v>
      </c>
      <c r="L99" s="584">
        <v>1500</v>
      </c>
      <c r="M99" s="584">
        <v>1500</v>
      </c>
      <c r="N99" s="584">
        <v>1500</v>
      </c>
      <c r="O99" s="584"/>
      <c r="P99" s="584"/>
      <c r="Q99" s="584"/>
      <c r="R99" s="584">
        <f t="shared" si="4"/>
        <v>4500</v>
      </c>
      <c r="S99" s="598">
        <f t="shared" si="5"/>
        <v>234.375</v>
      </c>
      <c r="T99" s="587"/>
      <c r="U99" s="587"/>
      <c r="V99" s="586">
        <v>21.6</v>
      </c>
      <c r="W99" s="584">
        <v>2400</v>
      </c>
      <c r="X99" s="584">
        <v>3000</v>
      </c>
      <c r="Y99" s="584"/>
      <c r="Z99" s="584"/>
      <c r="AA99" s="584">
        <f t="shared" si="6"/>
        <v>5400</v>
      </c>
      <c r="AB99" s="599">
        <f t="shared" si="7"/>
        <v>249.99999999999997</v>
      </c>
      <c r="AC99" s="587"/>
    </row>
    <row r="100" spans="9:29" x14ac:dyDescent="0.2">
      <c r="I100" s="587"/>
      <c r="J100" s="587"/>
      <c r="K100" s="586">
        <v>20.5</v>
      </c>
      <c r="L100" s="584">
        <v>1500</v>
      </c>
      <c r="M100" s="584">
        <v>1500</v>
      </c>
      <c r="N100" s="584">
        <v>1500</v>
      </c>
      <c r="O100" s="584"/>
      <c r="P100" s="584"/>
      <c r="Q100" s="584"/>
      <c r="R100" s="584">
        <f t="shared" si="4"/>
        <v>4500</v>
      </c>
      <c r="S100" s="598">
        <f t="shared" si="5"/>
        <v>219.51219512195121</v>
      </c>
      <c r="T100" s="587"/>
      <c r="U100" s="587"/>
      <c r="V100" s="586">
        <v>23.9</v>
      </c>
      <c r="W100" s="584">
        <v>2400</v>
      </c>
      <c r="X100" s="584">
        <v>3000</v>
      </c>
      <c r="Y100" s="584"/>
      <c r="Z100" s="584"/>
      <c r="AA100" s="584">
        <f t="shared" si="6"/>
        <v>5400</v>
      </c>
      <c r="AB100" s="599">
        <f t="shared" si="7"/>
        <v>225.94142259414227</v>
      </c>
      <c r="AC100" s="587"/>
    </row>
    <row r="101" spans="9:29" x14ac:dyDescent="0.2">
      <c r="I101" s="587"/>
      <c r="J101" s="587"/>
      <c r="K101" s="586">
        <v>20.6</v>
      </c>
      <c r="L101" s="584">
        <v>1500</v>
      </c>
      <c r="M101" s="584">
        <v>1500</v>
      </c>
      <c r="N101" s="584">
        <v>1800</v>
      </c>
      <c r="O101" s="584"/>
      <c r="P101" s="584"/>
      <c r="Q101" s="584"/>
      <c r="R101" s="584">
        <f t="shared" ref="R101:R132" si="8">L101+M101+N101+O101+P101+Q101</f>
        <v>4800</v>
      </c>
      <c r="S101" s="598">
        <f t="shared" ref="S101:S132" si="9">R101/K101</f>
        <v>233.00970873786406</v>
      </c>
      <c r="T101" s="587"/>
      <c r="U101" s="585"/>
      <c r="V101" s="586">
        <v>24</v>
      </c>
      <c r="W101" s="584">
        <v>3000</v>
      </c>
      <c r="X101" s="584">
        <v>3000</v>
      </c>
      <c r="Y101" s="584"/>
      <c r="Z101" s="584"/>
      <c r="AA101" s="584">
        <f t="shared" si="6"/>
        <v>6000</v>
      </c>
      <c r="AB101" s="599">
        <f t="shared" si="7"/>
        <v>250</v>
      </c>
      <c r="AC101" s="587"/>
    </row>
    <row r="102" spans="9:29" x14ac:dyDescent="0.2">
      <c r="I102" s="587"/>
      <c r="J102" s="587"/>
      <c r="K102" s="586">
        <v>21.8</v>
      </c>
      <c r="L102" s="584">
        <v>1500</v>
      </c>
      <c r="M102" s="584">
        <v>1500</v>
      </c>
      <c r="N102" s="584">
        <v>1800</v>
      </c>
      <c r="O102" s="584"/>
      <c r="P102" s="584"/>
      <c r="Q102" s="584"/>
      <c r="R102" s="584">
        <f t="shared" si="8"/>
        <v>4800</v>
      </c>
      <c r="S102" s="598">
        <f t="shared" si="9"/>
        <v>220.18348623853211</v>
      </c>
      <c r="T102" s="587"/>
      <c r="U102" s="585"/>
      <c r="V102" s="586">
        <v>26.3</v>
      </c>
      <c r="W102" s="584">
        <v>3000</v>
      </c>
      <c r="X102" s="584">
        <v>3000</v>
      </c>
      <c r="Y102" s="584"/>
      <c r="Z102" s="584"/>
      <c r="AA102" s="584">
        <f t="shared" si="6"/>
        <v>6000</v>
      </c>
      <c r="AB102" s="599">
        <f t="shared" si="7"/>
        <v>228.13688212927755</v>
      </c>
      <c r="AC102" s="587"/>
    </row>
    <row r="103" spans="9:29" x14ac:dyDescent="0.2">
      <c r="I103" s="587"/>
      <c r="J103" s="587"/>
      <c r="K103" s="586">
        <v>21.9</v>
      </c>
      <c r="L103" s="584">
        <v>1500</v>
      </c>
      <c r="M103" s="584">
        <v>1800</v>
      </c>
      <c r="N103" s="584">
        <v>1800</v>
      </c>
      <c r="O103" s="584"/>
      <c r="P103" s="584"/>
      <c r="Q103" s="584"/>
      <c r="R103" s="584">
        <f t="shared" si="8"/>
        <v>5100</v>
      </c>
      <c r="S103" s="598">
        <f t="shared" si="9"/>
        <v>232.87671232876713</v>
      </c>
      <c r="T103" s="587"/>
      <c r="U103" s="585"/>
      <c r="V103" s="586"/>
      <c r="W103" s="584"/>
      <c r="X103" s="584"/>
      <c r="Y103" s="584"/>
      <c r="Z103" s="584"/>
      <c r="AA103" s="584"/>
      <c r="AB103" s="599"/>
      <c r="AC103" s="587"/>
    </row>
    <row r="104" spans="9:29" x14ac:dyDescent="0.2">
      <c r="I104" s="587"/>
      <c r="J104" s="587"/>
      <c r="K104" s="586">
        <v>23</v>
      </c>
      <c r="L104" s="584">
        <v>1500</v>
      </c>
      <c r="M104" s="584">
        <v>1800</v>
      </c>
      <c r="N104" s="584">
        <v>1800</v>
      </c>
      <c r="O104" s="584"/>
      <c r="P104" s="584"/>
      <c r="Q104" s="584"/>
      <c r="R104" s="584">
        <f t="shared" si="8"/>
        <v>5100</v>
      </c>
      <c r="S104" s="598">
        <f t="shared" si="9"/>
        <v>221.7391304347826</v>
      </c>
      <c r="T104" s="587"/>
      <c r="U104" s="585"/>
      <c r="V104" s="586"/>
      <c r="W104" s="584"/>
      <c r="X104" s="584"/>
      <c r="Y104" s="584"/>
      <c r="Z104" s="584"/>
      <c r="AA104" s="584"/>
      <c r="AB104" s="599"/>
      <c r="AC104" s="587"/>
    </row>
    <row r="105" spans="9:29" x14ac:dyDescent="0.2">
      <c r="I105" s="587"/>
      <c r="J105" s="587"/>
      <c r="K105" s="586">
        <v>23.1</v>
      </c>
      <c r="L105" s="584">
        <v>1800</v>
      </c>
      <c r="M105" s="584">
        <v>1800</v>
      </c>
      <c r="N105" s="584">
        <v>1800</v>
      </c>
      <c r="O105" s="584"/>
      <c r="P105" s="584"/>
      <c r="Q105" s="584"/>
      <c r="R105" s="584">
        <f t="shared" si="8"/>
        <v>5400</v>
      </c>
      <c r="S105" s="598">
        <f t="shared" si="9"/>
        <v>233.76623376623374</v>
      </c>
      <c r="T105" s="587"/>
      <c r="U105" s="585"/>
      <c r="V105" s="586">
        <v>26.4</v>
      </c>
      <c r="W105" s="584">
        <v>3000</v>
      </c>
      <c r="X105" s="584">
        <v>3600</v>
      </c>
      <c r="Y105" s="584"/>
      <c r="Z105" s="584"/>
      <c r="AA105" s="584">
        <f t="shared" ref="AA105:AA136" si="10">W105+X105+Y105</f>
        <v>6600</v>
      </c>
      <c r="AB105" s="599">
        <f t="shared" ref="AB105:AB136" si="11">AA105/V105</f>
        <v>250</v>
      </c>
      <c r="AC105" s="587"/>
    </row>
    <row r="106" spans="9:29" x14ac:dyDescent="0.2">
      <c r="I106" s="587"/>
      <c r="J106" s="587"/>
      <c r="K106" s="586">
        <v>24.5</v>
      </c>
      <c r="L106" s="584">
        <v>1800</v>
      </c>
      <c r="M106" s="584">
        <v>1800</v>
      </c>
      <c r="N106" s="584">
        <v>1800</v>
      </c>
      <c r="O106" s="584"/>
      <c r="P106" s="584"/>
      <c r="Q106" s="584"/>
      <c r="R106" s="584">
        <f t="shared" si="8"/>
        <v>5400</v>
      </c>
      <c r="S106" s="598">
        <f t="shared" si="9"/>
        <v>220.40816326530611</v>
      </c>
      <c r="T106" s="587"/>
      <c r="U106" s="585"/>
      <c r="V106" s="586">
        <v>28.7</v>
      </c>
      <c r="W106" s="584">
        <v>3000</v>
      </c>
      <c r="X106" s="584">
        <v>3600</v>
      </c>
      <c r="Y106" s="584"/>
      <c r="Z106" s="584"/>
      <c r="AA106" s="584">
        <f t="shared" si="10"/>
        <v>6600</v>
      </c>
      <c r="AB106" s="599">
        <f t="shared" si="11"/>
        <v>229.9651567944251</v>
      </c>
      <c r="AC106" s="587"/>
    </row>
    <row r="107" spans="9:29" x14ac:dyDescent="0.2">
      <c r="I107" s="587"/>
      <c r="J107" s="587"/>
      <c r="K107" s="586">
        <v>24.6</v>
      </c>
      <c r="L107" s="584">
        <v>1800</v>
      </c>
      <c r="M107" s="584">
        <v>1800</v>
      </c>
      <c r="N107" s="584">
        <v>2100</v>
      </c>
      <c r="O107" s="584"/>
      <c r="P107" s="584"/>
      <c r="Q107" s="584"/>
      <c r="R107" s="584">
        <f t="shared" si="8"/>
        <v>5700</v>
      </c>
      <c r="S107" s="598">
        <f t="shared" si="9"/>
        <v>231.70731707317071</v>
      </c>
      <c r="T107" s="587"/>
      <c r="U107" s="585"/>
      <c r="V107" s="586">
        <v>28.8</v>
      </c>
      <c r="W107" s="584">
        <v>3600</v>
      </c>
      <c r="X107" s="584">
        <v>3600</v>
      </c>
      <c r="Y107" s="584"/>
      <c r="Z107" s="584"/>
      <c r="AA107" s="584">
        <f t="shared" si="10"/>
        <v>7200</v>
      </c>
      <c r="AB107" s="599">
        <f t="shared" si="11"/>
        <v>250</v>
      </c>
      <c r="AC107" s="587"/>
    </row>
    <row r="108" spans="9:29" x14ac:dyDescent="0.2">
      <c r="I108" s="587"/>
      <c r="J108" s="587"/>
      <c r="K108" s="586">
        <v>25.9</v>
      </c>
      <c r="L108" s="584">
        <v>1800</v>
      </c>
      <c r="M108" s="584">
        <v>1800</v>
      </c>
      <c r="N108" s="584">
        <v>2100</v>
      </c>
      <c r="O108" s="584"/>
      <c r="P108" s="584"/>
      <c r="Q108" s="584"/>
      <c r="R108" s="584">
        <f t="shared" si="8"/>
        <v>5700</v>
      </c>
      <c r="S108" s="598">
        <f t="shared" si="9"/>
        <v>220.07722007722009</v>
      </c>
      <c r="T108" s="587"/>
      <c r="U108" s="585"/>
      <c r="V108" s="586">
        <v>30.3</v>
      </c>
      <c r="W108" s="584">
        <v>3600</v>
      </c>
      <c r="X108" s="584">
        <v>3600</v>
      </c>
      <c r="Y108" s="584"/>
      <c r="Z108" s="584"/>
      <c r="AA108" s="584">
        <f t="shared" si="10"/>
        <v>7200</v>
      </c>
      <c r="AB108" s="599">
        <f t="shared" si="11"/>
        <v>237.62376237623761</v>
      </c>
      <c r="AC108" s="587"/>
    </row>
    <row r="109" spans="9:29" x14ac:dyDescent="0.2">
      <c r="I109" s="587"/>
      <c r="J109" s="587"/>
      <c r="K109" s="586">
        <v>26</v>
      </c>
      <c r="L109" s="584">
        <v>1800</v>
      </c>
      <c r="M109" s="584">
        <v>2100</v>
      </c>
      <c r="N109" s="584">
        <v>2100</v>
      </c>
      <c r="O109" s="584"/>
      <c r="P109" s="584"/>
      <c r="Q109" s="584"/>
      <c r="R109" s="584">
        <f t="shared" si="8"/>
        <v>6000</v>
      </c>
      <c r="S109" s="598">
        <f t="shared" si="9"/>
        <v>230.76923076923077</v>
      </c>
      <c r="T109" s="587"/>
      <c r="U109" s="585"/>
      <c r="V109" s="586">
        <v>30.4</v>
      </c>
      <c r="W109" s="584">
        <v>3400</v>
      </c>
      <c r="X109" s="584">
        <v>4200</v>
      </c>
      <c r="Y109" s="584"/>
      <c r="Z109" s="584"/>
      <c r="AA109" s="584">
        <f t="shared" si="10"/>
        <v>7600</v>
      </c>
      <c r="AB109" s="599">
        <f t="shared" si="11"/>
        <v>250</v>
      </c>
      <c r="AC109" s="587"/>
    </row>
    <row r="110" spans="9:29" x14ac:dyDescent="0.2">
      <c r="I110" s="587"/>
      <c r="J110" s="587"/>
      <c r="K110" s="586">
        <v>27.3</v>
      </c>
      <c r="L110" s="584">
        <v>1800</v>
      </c>
      <c r="M110" s="584">
        <v>2100</v>
      </c>
      <c r="N110" s="584">
        <v>2100</v>
      </c>
      <c r="O110" s="584"/>
      <c r="P110" s="584"/>
      <c r="Q110" s="584"/>
      <c r="R110" s="584">
        <f t="shared" si="8"/>
        <v>6000</v>
      </c>
      <c r="S110" s="598">
        <f t="shared" si="9"/>
        <v>219.78021978021977</v>
      </c>
      <c r="T110" s="587"/>
      <c r="U110" s="585"/>
      <c r="V110" s="586">
        <v>31.1</v>
      </c>
      <c r="W110" s="584">
        <v>3400</v>
      </c>
      <c r="X110" s="584">
        <v>4200</v>
      </c>
      <c r="Y110" s="584"/>
      <c r="Z110" s="584"/>
      <c r="AA110" s="584">
        <f t="shared" si="10"/>
        <v>7600</v>
      </c>
      <c r="AB110" s="599">
        <f t="shared" si="11"/>
        <v>244.37299035369773</v>
      </c>
      <c r="AC110" s="587"/>
    </row>
    <row r="111" spans="9:29" x14ac:dyDescent="0.2">
      <c r="I111" s="587"/>
      <c r="J111" s="587"/>
      <c r="K111" s="586">
        <v>27.4</v>
      </c>
      <c r="L111" s="584">
        <v>2100</v>
      </c>
      <c r="M111" s="584">
        <v>2100</v>
      </c>
      <c r="N111" s="584">
        <v>2100</v>
      </c>
      <c r="O111" s="584"/>
      <c r="P111" s="584"/>
      <c r="Q111" s="584"/>
      <c r="R111" s="584">
        <f t="shared" si="8"/>
        <v>6300</v>
      </c>
      <c r="S111" s="598">
        <f t="shared" si="9"/>
        <v>229.92700729927009</v>
      </c>
      <c r="T111" s="587"/>
      <c r="U111" s="585"/>
      <c r="V111" s="586">
        <v>31.2</v>
      </c>
      <c r="W111" s="584">
        <v>3600</v>
      </c>
      <c r="X111" s="584">
        <v>4200</v>
      </c>
      <c r="Y111" s="584"/>
      <c r="Z111" s="584"/>
      <c r="AA111" s="584">
        <f t="shared" si="10"/>
        <v>7800</v>
      </c>
      <c r="AB111" s="599">
        <f t="shared" si="11"/>
        <v>250</v>
      </c>
      <c r="AC111" s="587"/>
    </row>
    <row r="112" spans="9:29" x14ac:dyDescent="0.2">
      <c r="I112" s="587"/>
      <c r="J112" s="587"/>
      <c r="K112" s="586">
        <v>28.7</v>
      </c>
      <c r="L112" s="584">
        <v>2100</v>
      </c>
      <c r="M112" s="584">
        <v>2100</v>
      </c>
      <c r="N112" s="584">
        <v>2100</v>
      </c>
      <c r="O112" s="584"/>
      <c r="P112" s="584"/>
      <c r="Q112" s="584"/>
      <c r="R112" s="584">
        <f t="shared" si="8"/>
        <v>6300</v>
      </c>
      <c r="S112" s="598">
        <f t="shared" si="9"/>
        <v>219.51219512195124</v>
      </c>
      <c r="T112" s="587"/>
      <c r="U112" s="585"/>
      <c r="V112" s="586">
        <v>33.5</v>
      </c>
      <c r="W112" s="584">
        <v>3600</v>
      </c>
      <c r="X112" s="584">
        <v>4200</v>
      </c>
      <c r="Y112" s="584"/>
      <c r="Z112" s="584"/>
      <c r="AA112" s="584">
        <f t="shared" si="10"/>
        <v>7800</v>
      </c>
      <c r="AB112" s="599">
        <f t="shared" si="11"/>
        <v>232.83582089552237</v>
      </c>
      <c r="AC112" s="587"/>
    </row>
    <row r="113" spans="9:29" x14ac:dyDescent="0.2">
      <c r="I113" s="587"/>
      <c r="J113" s="587"/>
      <c r="K113" s="586">
        <v>28.8</v>
      </c>
      <c r="L113" s="584">
        <v>2100</v>
      </c>
      <c r="M113" s="584">
        <v>2100</v>
      </c>
      <c r="N113" s="584">
        <v>2400</v>
      </c>
      <c r="O113" s="584"/>
      <c r="P113" s="584"/>
      <c r="Q113" s="584"/>
      <c r="R113" s="584">
        <f t="shared" si="8"/>
        <v>6600</v>
      </c>
      <c r="S113" s="598">
        <f t="shared" si="9"/>
        <v>229.16666666666666</v>
      </c>
      <c r="T113" s="587"/>
      <c r="U113" s="585"/>
      <c r="V113" s="586">
        <v>33.6</v>
      </c>
      <c r="W113" s="584">
        <v>4200</v>
      </c>
      <c r="X113" s="584">
        <v>4200</v>
      </c>
      <c r="Y113" s="584"/>
      <c r="Z113" s="584"/>
      <c r="AA113" s="584">
        <f t="shared" si="10"/>
        <v>8400</v>
      </c>
      <c r="AB113" s="599">
        <f t="shared" si="11"/>
        <v>250</v>
      </c>
      <c r="AC113" s="587"/>
    </row>
    <row r="114" spans="9:29" x14ac:dyDescent="0.2">
      <c r="I114" s="587"/>
      <c r="J114" s="587"/>
      <c r="K114" s="586">
        <v>30</v>
      </c>
      <c r="L114" s="584">
        <v>2100</v>
      </c>
      <c r="M114" s="584">
        <v>2100</v>
      </c>
      <c r="N114" s="584">
        <v>2400</v>
      </c>
      <c r="O114" s="584"/>
      <c r="P114" s="584"/>
      <c r="Q114" s="584"/>
      <c r="R114" s="584">
        <f t="shared" si="8"/>
        <v>6600</v>
      </c>
      <c r="S114" s="598">
        <f t="shared" si="9"/>
        <v>220</v>
      </c>
      <c r="T114" s="587"/>
      <c r="U114" s="585"/>
      <c r="V114" s="586">
        <v>35.9</v>
      </c>
      <c r="W114" s="584">
        <v>4200</v>
      </c>
      <c r="X114" s="584">
        <v>4200</v>
      </c>
      <c r="Y114" s="584"/>
      <c r="Z114" s="584"/>
      <c r="AA114" s="584">
        <f t="shared" si="10"/>
        <v>8400</v>
      </c>
      <c r="AB114" s="599">
        <f t="shared" si="11"/>
        <v>233.98328690807801</v>
      </c>
      <c r="AC114" s="587"/>
    </row>
    <row r="115" spans="9:29" x14ac:dyDescent="0.2">
      <c r="I115" s="587"/>
      <c r="J115" s="587"/>
      <c r="K115" s="586">
        <v>30.1</v>
      </c>
      <c r="L115" s="584">
        <v>2100</v>
      </c>
      <c r="M115" s="584">
        <v>2400</v>
      </c>
      <c r="N115" s="584">
        <v>2400</v>
      </c>
      <c r="O115" s="584"/>
      <c r="P115" s="584"/>
      <c r="Q115" s="584"/>
      <c r="R115" s="584">
        <f t="shared" si="8"/>
        <v>6900</v>
      </c>
      <c r="S115" s="598">
        <f t="shared" si="9"/>
        <v>229.2358803986711</v>
      </c>
      <c r="T115" s="587"/>
      <c r="U115" s="585"/>
      <c r="V115" s="586">
        <v>36</v>
      </c>
      <c r="W115" s="584">
        <v>3000</v>
      </c>
      <c r="X115" s="584">
        <v>3000</v>
      </c>
      <c r="Y115" s="584">
        <v>3000</v>
      </c>
      <c r="Z115" s="584"/>
      <c r="AA115" s="584">
        <f t="shared" si="10"/>
        <v>9000</v>
      </c>
      <c r="AB115" s="599">
        <f t="shared" si="11"/>
        <v>250</v>
      </c>
      <c r="AC115" s="587"/>
    </row>
    <row r="116" spans="9:29" x14ac:dyDescent="0.2">
      <c r="I116" s="587"/>
      <c r="J116" s="587"/>
      <c r="K116" s="586">
        <v>31.3</v>
      </c>
      <c r="L116" s="584">
        <v>2100</v>
      </c>
      <c r="M116" s="584">
        <v>2400</v>
      </c>
      <c r="N116" s="584">
        <v>2400</v>
      </c>
      <c r="O116" s="584"/>
      <c r="P116" s="584"/>
      <c r="Q116" s="584"/>
      <c r="R116" s="584">
        <f t="shared" si="8"/>
        <v>6900</v>
      </c>
      <c r="S116" s="598">
        <f t="shared" si="9"/>
        <v>220.4472843450479</v>
      </c>
      <c r="T116" s="587"/>
      <c r="U116" s="585"/>
      <c r="V116" s="586">
        <v>39</v>
      </c>
      <c r="W116" s="584">
        <v>3000</v>
      </c>
      <c r="X116" s="584">
        <v>3000</v>
      </c>
      <c r="Y116" s="584">
        <v>3000</v>
      </c>
      <c r="Z116" s="584"/>
      <c r="AA116" s="584">
        <f t="shared" si="10"/>
        <v>9000</v>
      </c>
      <c r="AB116" s="599">
        <f t="shared" si="11"/>
        <v>230.76923076923077</v>
      </c>
      <c r="AC116" s="587"/>
    </row>
    <row r="117" spans="9:29" x14ac:dyDescent="0.2">
      <c r="I117" s="587"/>
      <c r="J117" s="587"/>
      <c r="K117" s="586">
        <v>31.4</v>
      </c>
      <c r="L117" s="584">
        <v>2400</v>
      </c>
      <c r="M117" s="584">
        <v>2400</v>
      </c>
      <c r="N117" s="584">
        <v>2400</v>
      </c>
      <c r="O117" s="584"/>
      <c r="P117" s="584"/>
      <c r="Q117" s="584"/>
      <c r="R117" s="584">
        <f t="shared" si="8"/>
        <v>7200</v>
      </c>
      <c r="S117" s="598">
        <f t="shared" si="9"/>
        <v>229.29936305732485</v>
      </c>
      <c r="T117" s="587"/>
      <c r="U117" s="585"/>
      <c r="V117" s="586">
        <v>39.1</v>
      </c>
      <c r="W117" s="584">
        <v>3000</v>
      </c>
      <c r="X117" s="584">
        <v>3000</v>
      </c>
      <c r="Y117" s="584">
        <v>3400</v>
      </c>
      <c r="Z117" s="584"/>
      <c r="AA117" s="584">
        <f t="shared" si="10"/>
        <v>9400</v>
      </c>
      <c r="AB117" s="599">
        <f t="shared" si="11"/>
        <v>240.40920716112532</v>
      </c>
      <c r="AC117" s="587"/>
    </row>
    <row r="118" spans="9:29" x14ac:dyDescent="0.2">
      <c r="I118" s="587"/>
      <c r="J118" s="587"/>
      <c r="K118" s="586">
        <v>32.799999999999997</v>
      </c>
      <c r="L118" s="584">
        <v>2400</v>
      </c>
      <c r="M118" s="584">
        <v>2400</v>
      </c>
      <c r="N118" s="584">
        <v>2400</v>
      </c>
      <c r="O118" s="584"/>
      <c r="P118" s="584"/>
      <c r="Q118" s="584"/>
      <c r="R118" s="584">
        <f t="shared" si="8"/>
        <v>7200</v>
      </c>
      <c r="S118" s="598">
        <f t="shared" si="9"/>
        <v>219.51219512195124</v>
      </c>
      <c r="T118" s="587"/>
      <c r="U118" s="585"/>
      <c r="V118" s="586">
        <v>40.9</v>
      </c>
      <c r="W118" s="584">
        <v>3000</v>
      </c>
      <c r="X118" s="584">
        <v>3000</v>
      </c>
      <c r="Y118" s="584">
        <v>3400</v>
      </c>
      <c r="Z118" s="584"/>
      <c r="AA118" s="584">
        <f t="shared" si="10"/>
        <v>9400</v>
      </c>
      <c r="AB118" s="599">
        <f t="shared" si="11"/>
        <v>229.82885085574574</v>
      </c>
      <c r="AC118" s="587"/>
    </row>
    <row r="119" spans="9:29" x14ac:dyDescent="0.2">
      <c r="I119" s="587"/>
      <c r="J119" s="587"/>
      <c r="K119" s="586">
        <v>32.9</v>
      </c>
      <c r="L119" s="584">
        <v>2400</v>
      </c>
      <c r="M119" s="584">
        <v>2400</v>
      </c>
      <c r="N119" s="584">
        <v>3000</v>
      </c>
      <c r="O119" s="584"/>
      <c r="P119" s="584"/>
      <c r="Q119" s="584"/>
      <c r="R119" s="584">
        <f t="shared" si="8"/>
        <v>7800</v>
      </c>
      <c r="S119" s="598">
        <f t="shared" si="9"/>
        <v>237.08206686930092</v>
      </c>
      <c r="T119" s="587"/>
      <c r="U119" s="585"/>
      <c r="V119" s="586">
        <v>41</v>
      </c>
      <c r="W119" s="584">
        <v>3000</v>
      </c>
      <c r="X119" s="584">
        <v>3400</v>
      </c>
      <c r="Y119" s="584">
        <v>3400</v>
      </c>
      <c r="Z119" s="584"/>
      <c r="AA119" s="584">
        <f t="shared" si="10"/>
        <v>9800</v>
      </c>
      <c r="AB119" s="599">
        <f t="shared" si="11"/>
        <v>239.02439024390245</v>
      </c>
      <c r="AC119" s="587"/>
    </row>
    <row r="120" spans="9:29" x14ac:dyDescent="0.2">
      <c r="I120" s="587"/>
      <c r="J120" s="587"/>
      <c r="K120" s="586">
        <v>35.4</v>
      </c>
      <c r="L120" s="584">
        <v>2400</v>
      </c>
      <c r="M120" s="584">
        <v>2400</v>
      </c>
      <c r="N120" s="584">
        <v>3000</v>
      </c>
      <c r="O120" s="584"/>
      <c r="P120" s="584"/>
      <c r="Q120" s="584"/>
      <c r="R120" s="584">
        <f t="shared" si="8"/>
        <v>7800</v>
      </c>
      <c r="S120" s="598">
        <f t="shared" si="9"/>
        <v>220.33898305084747</v>
      </c>
      <c r="T120" s="587"/>
      <c r="U120" s="585"/>
      <c r="V120" s="586">
        <v>42.6</v>
      </c>
      <c r="W120" s="584">
        <v>3000</v>
      </c>
      <c r="X120" s="584">
        <v>3400</v>
      </c>
      <c r="Y120" s="584">
        <v>3400</v>
      </c>
      <c r="Z120" s="584"/>
      <c r="AA120" s="584">
        <f t="shared" si="10"/>
        <v>9800</v>
      </c>
      <c r="AB120" s="599">
        <f t="shared" si="11"/>
        <v>230.04694835680749</v>
      </c>
      <c r="AC120" s="587"/>
    </row>
    <row r="121" spans="9:29" x14ac:dyDescent="0.2">
      <c r="I121" s="587"/>
      <c r="J121" s="587"/>
      <c r="K121" s="586">
        <v>35.5</v>
      </c>
      <c r="L121" s="584">
        <v>2400</v>
      </c>
      <c r="M121" s="584">
        <v>3400</v>
      </c>
      <c r="N121" s="584">
        <v>3400</v>
      </c>
      <c r="O121" s="584"/>
      <c r="P121" s="584"/>
      <c r="Q121" s="584"/>
      <c r="R121" s="584">
        <f t="shared" si="8"/>
        <v>9200</v>
      </c>
      <c r="S121" s="598">
        <f t="shared" si="9"/>
        <v>259.15492957746477</v>
      </c>
      <c r="T121" s="587"/>
      <c r="U121" s="585"/>
      <c r="V121" s="586">
        <v>42.7</v>
      </c>
      <c r="W121" s="584">
        <v>3400</v>
      </c>
      <c r="X121" s="584">
        <v>3400</v>
      </c>
      <c r="Y121" s="584">
        <v>3400</v>
      </c>
      <c r="Z121" s="584"/>
      <c r="AA121" s="584">
        <f t="shared" si="10"/>
        <v>10200</v>
      </c>
      <c r="AB121" s="599">
        <f t="shared" si="11"/>
        <v>238.87587822014049</v>
      </c>
      <c r="AC121" s="587"/>
    </row>
    <row r="122" spans="9:29" x14ac:dyDescent="0.2">
      <c r="I122" s="587"/>
      <c r="J122" s="587"/>
      <c r="K122" s="586">
        <v>41.9</v>
      </c>
      <c r="L122" s="584">
        <v>2400</v>
      </c>
      <c r="M122" s="584">
        <v>3400</v>
      </c>
      <c r="N122" s="584">
        <v>3400</v>
      </c>
      <c r="O122" s="584"/>
      <c r="P122" s="584"/>
      <c r="Q122" s="584"/>
      <c r="R122" s="584">
        <f t="shared" si="8"/>
        <v>9200</v>
      </c>
      <c r="S122" s="598">
        <f t="shared" si="9"/>
        <v>219.57040572792363</v>
      </c>
      <c r="T122" s="587"/>
      <c r="U122" s="585"/>
      <c r="V122" s="586">
        <v>44.3</v>
      </c>
      <c r="W122" s="584">
        <v>3400</v>
      </c>
      <c r="X122" s="584">
        <v>3400</v>
      </c>
      <c r="Y122" s="584">
        <v>3400</v>
      </c>
      <c r="Z122" s="584"/>
      <c r="AA122" s="584">
        <f t="shared" si="10"/>
        <v>10200</v>
      </c>
      <c r="AB122" s="599">
        <f t="shared" si="11"/>
        <v>230.24830699774267</v>
      </c>
      <c r="AC122" s="587"/>
    </row>
    <row r="123" spans="9:29" x14ac:dyDescent="0.2">
      <c r="I123" s="587"/>
      <c r="J123" s="587"/>
      <c r="K123" s="586">
        <v>42</v>
      </c>
      <c r="L123" s="584">
        <v>3400</v>
      </c>
      <c r="M123" s="584">
        <v>3400</v>
      </c>
      <c r="N123" s="584">
        <v>3400</v>
      </c>
      <c r="O123" s="584"/>
      <c r="P123" s="584"/>
      <c r="Q123" s="584"/>
      <c r="R123" s="584">
        <f t="shared" si="8"/>
        <v>10200</v>
      </c>
      <c r="S123" s="598">
        <f t="shared" si="9"/>
        <v>242.85714285714286</v>
      </c>
      <c r="T123" s="587"/>
      <c r="U123" s="585"/>
      <c r="V123" s="586">
        <v>44.4</v>
      </c>
      <c r="W123" s="584">
        <v>3400</v>
      </c>
      <c r="X123" s="584">
        <v>3400</v>
      </c>
      <c r="Y123" s="584">
        <v>3600</v>
      </c>
      <c r="Z123" s="584"/>
      <c r="AA123" s="584">
        <f t="shared" si="10"/>
        <v>10400</v>
      </c>
      <c r="AB123" s="599">
        <f t="shared" si="11"/>
        <v>234.23423423423424</v>
      </c>
      <c r="AC123" s="587"/>
    </row>
    <row r="124" spans="9:29" x14ac:dyDescent="0.2">
      <c r="I124" s="587"/>
      <c r="J124" s="600"/>
      <c r="K124" s="586">
        <v>45.2</v>
      </c>
      <c r="L124" s="584">
        <v>3400</v>
      </c>
      <c r="M124" s="584">
        <v>3400</v>
      </c>
      <c r="N124" s="584">
        <v>3400</v>
      </c>
      <c r="O124" s="584"/>
      <c r="P124" s="584"/>
      <c r="Q124" s="584"/>
      <c r="R124" s="584">
        <f t="shared" si="8"/>
        <v>10200</v>
      </c>
      <c r="S124" s="598">
        <f t="shared" si="9"/>
        <v>225.66371681415927</v>
      </c>
      <c r="T124" s="587"/>
      <c r="U124" s="585"/>
      <c r="V124" s="586">
        <v>45.2</v>
      </c>
      <c r="W124" s="584">
        <v>3400</v>
      </c>
      <c r="X124" s="584">
        <v>3600</v>
      </c>
      <c r="Y124" s="584">
        <v>3600</v>
      </c>
      <c r="Z124" s="584"/>
      <c r="AA124" s="584">
        <f t="shared" si="10"/>
        <v>10600</v>
      </c>
      <c r="AB124" s="599">
        <f t="shared" si="11"/>
        <v>234.51327433628316</v>
      </c>
      <c r="AC124" s="587"/>
    </row>
    <row r="125" spans="9:29" x14ac:dyDescent="0.2">
      <c r="I125" s="587"/>
      <c r="J125" s="600"/>
      <c r="K125" s="586">
        <v>45.3</v>
      </c>
      <c r="L125" s="584">
        <v>3400</v>
      </c>
      <c r="M125" s="584">
        <v>3600</v>
      </c>
      <c r="N125" s="584">
        <v>3600</v>
      </c>
      <c r="O125" s="584"/>
      <c r="P125" s="584"/>
      <c r="Q125" s="584"/>
      <c r="R125" s="584">
        <f t="shared" si="8"/>
        <v>10600</v>
      </c>
      <c r="S125" s="598">
        <f t="shared" si="9"/>
        <v>233.99558498896249</v>
      </c>
      <c r="T125" s="587"/>
      <c r="U125" s="585"/>
      <c r="V125" s="586">
        <v>45.3</v>
      </c>
      <c r="W125" s="584">
        <v>3400</v>
      </c>
      <c r="X125" s="584">
        <v>3600</v>
      </c>
      <c r="Y125" s="584">
        <v>3600</v>
      </c>
      <c r="Z125" s="584"/>
      <c r="AA125" s="584">
        <f t="shared" si="10"/>
        <v>10600</v>
      </c>
      <c r="AB125" s="599">
        <f t="shared" si="11"/>
        <v>233.99558498896249</v>
      </c>
      <c r="AC125" s="587"/>
    </row>
    <row r="126" spans="9:29" x14ac:dyDescent="0.2">
      <c r="I126" s="587"/>
      <c r="J126" s="600"/>
      <c r="K126" s="586">
        <v>46.1</v>
      </c>
      <c r="L126" s="584">
        <v>3400</v>
      </c>
      <c r="M126" s="584">
        <v>3600</v>
      </c>
      <c r="N126" s="584">
        <v>3600</v>
      </c>
      <c r="O126" s="584"/>
      <c r="P126" s="584"/>
      <c r="Q126" s="584"/>
      <c r="R126" s="584">
        <f t="shared" si="8"/>
        <v>10600</v>
      </c>
      <c r="S126" s="598">
        <f t="shared" si="9"/>
        <v>229.93492407809109</v>
      </c>
      <c r="T126" s="587"/>
      <c r="U126" s="585"/>
      <c r="V126" s="586">
        <v>46.1</v>
      </c>
      <c r="W126" s="584">
        <v>3400</v>
      </c>
      <c r="X126" s="584">
        <v>3600</v>
      </c>
      <c r="Y126" s="584">
        <v>3600</v>
      </c>
      <c r="Z126" s="584"/>
      <c r="AA126" s="584">
        <f t="shared" si="10"/>
        <v>10600</v>
      </c>
      <c r="AB126" s="599">
        <f t="shared" si="11"/>
        <v>229.93492407809109</v>
      </c>
      <c r="AC126" s="587"/>
    </row>
    <row r="127" spans="9:29" x14ac:dyDescent="0.2">
      <c r="I127" s="587"/>
      <c r="J127" s="600"/>
      <c r="K127" s="586">
        <v>46.2</v>
      </c>
      <c r="L127" s="584">
        <v>3600</v>
      </c>
      <c r="M127" s="584">
        <v>3600</v>
      </c>
      <c r="N127" s="584">
        <v>3600</v>
      </c>
      <c r="O127" s="584"/>
      <c r="P127" s="584"/>
      <c r="Q127" s="584"/>
      <c r="R127" s="584">
        <f t="shared" si="8"/>
        <v>10800</v>
      </c>
      <c r="S127" s="598">
        <f t="shared" si="9"/>
        <v>233.76623376623374</v>
      </c>
      <c r="T127" s="587"/>
      <c r="U127" s="585"/>
      <c r="V127" s="586">
        <v>46.2</v>
      </c>
      <c r="W127" s="584">
        <v>3600</v>
      </c>
      <c r="X127" s="584">
        <v>3600</v>
      </c>
      <c r="Y127" s="584">
        <v>3600</v>
      </c>
      <c r="Z127" s="584"/>
      <c r="AA127" s="584">
        <f t="shared" si="10"/>
        <v>10800</v>
      </c>
      <c r="AB127" s="599">
        <f t="shared" si="11"/>
        <v>233.76623376623374</v>
      </c>
      <c r="AC127" s="587"/>
    </row>
    <row r="128" spans="9:29" x14ac:dyDescent="0.2">
      <c r="I128" s="587"/>
      <c r="J128" s="600"/>
      <c r="K128" s="586">
        <v>47</v>
      </c>
      <c r="L128" s="584">
        <v>3600</v>
      </c>
      <c r="M128" s="584">
        <v>3600</v>
      </c>
      <c r="N128" s="584">
        <v>3600</v>
      </c>
      <c r="O128" s="584"/>
      <c r="P128" s="584"/>
      <c r="Q128" s="584"/>
      <c r="R128" s="584">
        <f t="shared" si="8"/>
        <v>10800</v>
      </c>
      <c r="S128" s="598">
        <f t="shared" si="9"/>
        <v>229.78723404255319</v>
      </c>
      <c r="T128" s="587"/>
      <c r="U128" s="585"/>
      <c r="V128" s="586">
        <v>47</v>
      </c>
      <c r="W128" s="584">
        <v>3600</v>
      </c>
      <c r="X128" s="584">
        <v>3600</v>
      </c>
      <c r="Y128" s="584">
        <v>3600</v>
      </c>
      <c r="Z128" s="584"/>
      <c r="AA128" s="584">
        <f t="shared" si="10"/>
        <v>10800</v>
      </c>
      <c r="AB128" s="599">
        <f t="shared" si="11"/>
        <v>229.78723404255319</v>
      </c>
      <c r="AC128" s="587"/>
    </row>
    <row r="129" spans="9:29" x14ac:dyDescent="0.2">
      <c r="I129" s="587"/>
      <c r="J129" s="600"/>
      <c r="K129" s="586">
        <v>47.1</v>
      </c>
      <c r="L129" s="584">
        <v>3600</v>
      </c>
      <c r="M129" s="584">
        <v>3600</v>
      </c>
      <c r="N129" s="584">
        <v>4200</v>
      </c>
      <c r="O129" s="584"/>
      <c r="P129" s="584"/>
      <c r="Q129" s="584"/>
      <c r="R129" s="584">
        <f t="shared" si="8"/>
        <v>11400</v>
      </c>
      <c r="S129" s="598">
        <f t="shared" si="9"/>
        <v>242.03821656050954</v>
      </c>
      <c r="T129" s="587"/>
      <c r="U129" s="585"/>
      <c r="V129" s="586">
        <v>47.1</v>
      </c>
      <c r="W129" s="584">
        <v>3600</v>
      </c>
      <c r="X129" s="584">
        <v>3600</v>
      </c>
      <c r="Y129" s="584">
        <v>4200</v>
      </c>
      <c r="Z129" s="584"/>
      <c r="AA129" s="584">
        <f t="shared" si="10"/>
        <v>11400</v>
      </c>
      <c r="AB129" s="599">
        <f t="shared" si="11"/>
        <v>242.03821656050954</v>
      </c>
      <c r="AC129" s="587"/>
    </row>
    <row r="130" spans="9:29" x14ac:dyDescent="0.2">
      <c r="I130" s="587"/>
      <c r="J130" s="600"/>
      <c r="K130" s="584">
        <v>49.4</v>
      </c>
      <c r="L130" s="584">
        <v>3600</v>
      </c>
      <c r="M130" s="584">
        <v>3600</v>
      </c>
      <c r="N130" s="584">
        <v>4200</v>
      </c>
      <c r="O130" s="584"/>
      <c r="P130" s="584"/>
      <c r="Q130" s="584"/>
      <c r="R130" s="584">
        <f t="shared" si="8"/>
        <v>11400</v>
      </c>
      <c r="S130" s="598">
        <f t="shared" si="9"/>
        <v>230.76923076923077</v>
      </c>
      <c r="T130" s="587"/>
      <c r="U130" s="585"/>
      <c r="V130" s="584">
        <v>49.4</v>
      </c>
      <c r="W130" s="584">
        <v>3600</v>
      </c>
      <c r="X130" s="584">
        <v>3600</v>
      </c>
      <c r="Y130" s="584">
        <v>4200</v>
      </c>
      <c r="Z130" s="584"/>
      <c r="AA130" s="584">
        <f t="shared" si="10"/>
        <v>11400</v>
      </c>
      <c r="AB130" s="599">
        <f t="shared" si="11"/>
        <v>230.76923076923077</v>
      </c>
      <c r="AC130" s="587"/>
    </row>
    <row r="131" spans="9:29" x14ac:dyDescent="0.2">
      <c r="I131" s="587"/>
      <c r="J131" s="600"/>
      <c r="K131" s="584">
        <v>49.5</v>
      </c>
      <c r="L131" s="584">
        <v>3600</v>
      </c>
      <c r="M131" s="584">
        <v>4200</v>
      </c>
      <c r="N131" s="584">
        <v>4200</v>
      </c>
      <c r="O131" s="584"/>
      <c r="P131" s="584"/>
      <c r="Q131" s="584"/>
      <c r="R131" s="584">
        <f t="shared" si="8"/>
        <v>12000</v>
      </c>
      <c r="S131" s="598">
        <f t="shared" si="9"/>
        <v>242.42424242424244</v>
      </c>
      <c r="T131" s="587"/>
      <c r="U131" s="585"/>
      <c r="V131" s="584">
        <v>49.5</v>
      </c>
      <c r="W131" s="584">
        <v>3600</v>
      </c>
      <c r="X131" s="584">
        <v>4200</v>
      </c>
      <c r="Y131" s="584">
        <v>4200</v>
      </c>
      <c r="Z131" s="584"/>
      <c r="AA131" s="584">
        <f t="shared" si="10"/>
        <v>12000</v>
      </c>
      <c r="AB131" s="599">
        <f t="shared" si="11"/>
        <v>242.42424242424244</v>
      </c>
      <c r="AC131" s="587"/>
    </row>
    <row r="132" spans="9:29" x14ac:dyDescent="0.2">
      <c r="I132" s="587"/>
      <c r="J132" s="600"/>
      <c r="K132" s="584">
        <v>52</v>
      </c>
      <c r="L132" s="584">
        <v>3600</v>
      </c>
      <c r="M132" s="584">
        <v>4200</v>
      </c>
      <c r="N132" s="584">
        <v>4200</v>
      </c>
      <c r="O132" s="584"/>
      <c r="P132" s="584"/>
      <c r="Q132" s="584"/>
      <c r="R132" s="584">
        <f t="shared" si="8"/>
        <v>12000</v>
      </c>
      <c r="S132" s="598">
        <f t="shared" si="9"/>
        <v>230.76923076923077</v>
      </c>
      <c r="T132" s="587"/>
      <c r="U132" s="585"/>
      <c r="V132" s="584">
        <v>52</v>
      </c>
      <c r="W132" s="584">
        <v>3600</v>
      </c>
      <c r="X132" s="584">
        <v>4200</v>
      </c>
      <c r="Y132" s="584">
        <v>4200</v>
      </c>
      <c r="Z132" s="584"/>
      <c r="AA132" s="584">
        <f t="shared" si="10"/>
        <v>12000</v>
      </c>
      <c r="AB132" s="599">
        <f t="shared" si="11"/>
        <v>230.76923076923077</v>
      </c>
      <c r="AC132" s="587"/>
    </row>
    <row r="133" spans="9:29" x14ac:dyDescent="0.2">
      <c r="I133" s="587"/>
      <c r="J133" s="600"/>
      <c r="K133" s="584">
        <v>52.1</v>
      </c>
      <c r="L133" s="584">
        <v>4200</v>
      </c>
      <c r="M133" s="584">
        <v>4200</v>
      </c>
      <c r="N133" s="584">
        <v>4200</v>
      </c>
      <c r="O133" s="584"/>
      <c r="P133" s="584"/>
      <c r="Q133" s="584"/>
      <c r="R133" s="584">
        <f t="shared" ref="R133:R164" si="12">L133+M133+N133+O133+P133+Q133</f>
        <v>12600</v>
      </c>
      <c r="S133" s="599">
        <f t="shared" ref="S133:S164" si="13">R133/K133</f>
        <v>241.84261036468328</v>
      </c>
      <c r="T133" s="587"/>
      <c r="U133" s="585"/>
      <c r="V133" s="584">
        <v>52.1</v>
      </c>
      <c r="W133" s="584">
        <v>4200</v>
      </c>
      <c r="X133" s="584">
        <v>4200</v>
      </c>
      <c r="Y133" s="584">
        <v>4200</v>
      </c>
      <c r="Z133" s="584"/>
      <c r="AA133" s="584">
        <f t="shared" si="10"/>
        <v>12600</v>
      </c>
      <c r="AB133" s="599">
        <f t="shared" si="11"/>
        <v>241.84261036468328</v>
      </c>
      <c r="AC133" s="587"/>
    </row>
    <row r="134" spans="9:29" x14ac:dyDescent="0.2">
      <c r="I134" s="587"/>
      <c r="J134" s="600"/>
      <c r="K134" s="584">
        <v>57.2</v>
      </c>
      <c r="L134" s="584">
        <v>4200</v>
      </c>
      <c r="M134" s="584">
        <v>4200</v>
      </c>
      <c r="N134" s="584">
        <v>4200</v>
      </c>
      <c r="O134" s="584"/>
      <c r="P134" s="584"/>
      <c r="Q134" s="584"/>
      <c r="R134" s="584">
        <f t="shared" si="12"/>
        <v>12600</v>
      </c>
      <c r="S134" s="599">
        <f t="shared" si="13"/>
        <v>220.27972027972027</v>
      </c>
      <c r="T134" s="587"/>
      <c r="U134" s="585"/>
      <c r="V134" s="584">
        <v>54.6</v>
      </c>
      <c r="W134" s="584">
        <v>4200</v>
      </c>
      <c r="X134" s="584">
        <v>4200</v>
      </c>
      <c r="Y134" s="584">
        <v>4200</v>
      </c>
      <c r="Z134" s="584"/>
      <c r="AA134" s="584">
        <f t="shared" si="10"/>
        <v>12600</v>
      </c>
      <c r="AB134" s="599">
        <f t="shared" si="11"/>
        <v>230.76923076923077</v>
      </c>
      <c r="AC134" s="587"/>
    </row>
    <row r="135" spans="9:29" x14ac:dyDescent="0.2">
      <c r="I135" s="587"/>
      <c r="J135" s="600"/>
      <c r="K135" s="584">
        <v>57.3</v>
      </c>
      <c r="L135" s="584">
        <v>2100</v>
      </c>
      <c r="M135" s="584">
        <v>2100</v>
      </c>
      <c r="N135" s="584">
        <v>2100</v>
      </c>
      <c r="O135" s="584">
        <v>2100</v>
      </c>
      <c r="P135" s="584">
        <v>2100</v>
      </c>
      <c r="Q135" s="584">
        <v>2400</v>
      </c>
      <c r="R135" s="584">
        <f t="shared" si="12"/>
        <v>12900</v>
      </c>
      <c r="S135" s="599">
        <f t="shared" si="13"/>
        <v>225.13089005235602</v>
      </c>
      <c r="T135" s="587"/>
      <c r="U135" s="585"/>
      <c r="V135" s="584">
        <v>54.6</v>
      </c>
      <c r="W135" s="584">
        <v>3600</v>
      </c>
      <c r="X135" s="584">
        <v>3600</v>
      </c>
      <c r="Y135" s="584">
        <v>3600</v>
      </c>
      <c r="Z135" s="584">
        <v>3600</v>
      </c>
      <c r="AA135" s="584">
        <f t="shared" si="10"/>
        <v>10800</v>
      </c>
      <c r="AB135" s="599">
        <f t="shared" si="11"/>
        <v>197.80219780219781</v>
      </c>
      <c r="AC135" s="587"/>
    </row>
    <row r="136" spans="9:29" x14ac:dyDescent="0.2">
      <c r="I136" s="587"/>
      <c r="J136" s="600"/>
      <c r="K136" s="584">
        <v>58.6</v>
      </c>
      <c r="L136" s="584">
        <v>2100</v>
      </c>
      <c r="M136" s="584">
        <v>2100</v>
      </c>
      <c r="N136" s="584">
        <v>2100</v>
      </c>
      <c r="O136" s="584">
        <v>2100</v>
      </c>
      <c r="P136" s="584">
        <v>2100</v>
      </c>
      <c r="Q136" s="584">
        <v>2400</v>
      </c>
      <c r="R136" s="584">
        <f t="shared" si="12"/>
        <v>12900</v>
      </c>
      <c r="S136" s="599">
        <f t="shared" si="13"/>
        <v>220.13651877133105</v>
      </c>
      <c r="T136" s="587"/>
      <c r="U136" s="585"/>
      <c r="V136" s="584">
        <v>54.6</v>
      </c>
      <c r="W136" s="584">
        <v>4200</v>
      </c>
      <c r="X136" s="584">
        <v>4200</v>
      </c>
      <c r="Y136" s="584">
        <v>4200</v>
      </c>
      <c r="Z136" s="584"/>
      <c r="AA136" s="584">
        <f t="shared" si="10"/>
        <v>12600</v>
      </c>
      <c r="AB136" s="599">
        <f t="shared" si="11"/>
        <v>230.76923076923077</v>
      </c>
      <c r="AC136" s="587"/>
    </row>
    <row r="137" spans="9:29" x14ac:dyDescent="0.2">
      <c r="I137" s="587"/>
      <c r="J137" s="587"/>
      <c r="K137" s="584">
        <v>58.7</v>
      </c>
      <c r="L137" s="584">
        <v>2100</v>
      </c>
      <c r="M137" s="584">
        <v>2100</v>
      </c>
      <c r="N137" s="584">
        <v>2100</v>
      </c>
      <c r="O137" s="584">
        <v>2100</v>
      </c>
      <c r="P137" s="584">
        <v>2400</v>
      </c>
      <c r="Q137" s="584">
        <v>2400</v>
      </c>
      <c r="R137" s="584">
        <f t="shared" si="12"/>
        <v>13200</v>
      </c>
      <c r="S137" s="599">
        <f t="shared" si="13"/>
        <v>224.87223168654174</v>
      </c>
      <c r="T137" s="587"/>
      <c r="U137" s="585"/>
      <c r="V137" s="584">
        <v>54.6</v>
      </c>
      <c r="W137" s="584">
        <v>4200</v>
      </c>
      <c r="X137" s="584">
        <v>4200</v>
      </c>
      <c r="Y137" s="584">
        <v>4200</v>
      </c>
      <c r="Z137" s="584"/>
      <c r="AA137" s="584">
        <f t="shared" ref="AA137:AA172" si="14">W137+X137+Y137</f>
        <v>12600</v>
      </c>
      <c r="AB137" s="599">
        <f t="shared" ref="AB137:AB168" si="15">AA137/V137</f>
        <v>230.76923076923077</v>
      </c>
      <c r="AC137" s="587"/>
    </row>
    <row r="138" spans="9:29" x14ac:dyDescent="0.2">
      <c r="I138" s="587"/>
      <c r="J138" s="587"/>
      <c r="K138" s="584">
        <v>60</v>
      </c>
      <c r="L138" s="584">
        <v>2100</v>
      </c>
      <c r="M138" s="584">
        <v>2100</v>
      </c>
      <c r="N138" s="584">
        <v>2100</v>
      </c>
      <c r="O138" s="584">
        <v>2100</v>
      </c>
      <c r="P138" s="584">
        <v>2400</v>
      </c>
      <c r="Q138" s="584">
        <v>2400</v>
      </c>
      <c r="R138" s="584">
        <f t="shared" si="12"/>
        <v>13200</v>
      </c>
      <c r="S138" s="599">
        <f t="shared" si="13"/>
        <v>220</v>
      </c>
      <c r="T138" s="587"/>
      <c r="U138" s="585"/>
      <c r="V138" s="584">
        <v>54.6</v>
      </c>
      <c r="W138" s="584">
        <v>4200</v>
      </c>
      <c r="X138" s="584">
        <v>4200</v>
      </c>
      <c r="Y138" s="584">
        <v>4200</v>
      </c>
      <c r="Z138" s="584"/>
      <c r="AA138" s="584">
        <f t="shared" si="14"/>
        <v>12600</v>
      </c>
      <c r="AB138" s="599">
        <f t="shared" si="15"/>
        <v>230.76923076923077</v>
      </c>
      <c r="AC138" s="587"/>
    </row>
    <row r="139" spans="9:29" x14ac:dyDescent="0.2">
      <c r="I139" s="587"/>
      <c r="J139" s="587"/>
      <c r="K139" s="584">
        <v>60.1</v>
      </c>
      <c r="L139" s="584">
        <v>2100</v>
      </c>
      <c r="M139" s="584">
        <v>2100</v>
      </c>
      <c r="N139" s="584">
        <v>2100</v>
      </c>
      <c r="O139" s="584">
        <v>2400</v>
      </c>
      <c r="P139" s="584">
        <v>2400</v>
      </c>
      <c r="Q139" s="584">
        <v>2400</v>
      </c>
      <c r="R139" s="584">
        <f t="shared" si="12"/>
        <v>13500</v>
      </c>
      <c r="S139" s="599">
        <f t="shared" si="13"/>
        <v>224.62562396006655</v>
      </c>
      <c r="T139" s="587"/>
      <c r="U139" s="585"/>
      <c r="V139" s="584">
        <v>54.6</v>
      </c>
      <c r="W139" s="584">
        <v>4200</v>
      </c>
      <c r="X139" s="584">
        <v>4200</v>
      </c>
      <c r="Y139" s="584">
        <v>4200</v>
      </c>
      <c r="Z139" s="584"/>
      <c r="AA139" s="584">
        <f t="shared" si="14"/>
        <v>12600</v>
      </c>
      <c r="AB139" s="599">
        <f t="shared" si="15"/>
        <v>230.76923076923077</v>
      </c>
      <c r="AC139" s="587"/>
    </row>
    <row r="140" spans="9:29" x14ac:dyDescent="0.2">
      <c r="I140" s="587"/>
      <c r="J140" s="587"/>
      <c r="K140" s="584">
        <v>61</v>
      </c>
      <c r="L140" s="584">
        <v>2100</v>
      </c>
      <c r="M140" s="584">
        <v>2100</v>
      </c>
      <c r="N140" s="584">
        <v>2100</v>
      </c>
      <c r="O140" s="584">
        <v>2400</v>
      </c>
      <c r="P140" s="584">
        <v>2400</v>
      </c>
      <c r="Q140" s="584">
        <v>2400</v>
      </c>
      <c r="R140" s="584">
        <f t="shared" si="12"/>
        <v>13500</v>
      </c>
      <c r="S140" s="599">
        <f t="shared" si="13"/>
        <v>221.31147540983608</v>
      </c>
      <c r="T140" s="587"/>
      <c r="U140" s="585"/>
      <c r="V140" s="584">
        <v>54.6</v>
      </c>
      <c r="W140" s="584">
        <v>4200</v>
      </c>
      <c r="X140" s="584">
        <v>4200</v>
      </c>
      <c r="Y140" s="584">
        <v>4200</v>
      </c>
      <c r="Z140" s="584"/>
      <c r="AA140" s="584">
        <f t="shared" si="14"/>
        <v>12600</v>
      </c>
      <c r="AB140" s="599">
        <f t="shared" si="15"/>
        <v>230.76923076923077</v>
      </c>
      <c r="AC140" s="587"/>
    </row>
    <row r="141" spans="9:29" x14ac:dyDescent="0.2">
      <c r="I141" s="587"/>
      <c r="J141" s="587"/>
      <c r="K141" s="584">
        <v>61.1</v>
      </c>
      <c r="L141" s="584">
        <v>2100</v>
      </c>
      <c r="M141" s="584">
        <v>2100</v>
      </c>
      <c r="N141" s="584">
        <v>2400</v>
      </c>
      <c r="O141" s="584">
        <v>2400</v>
      </c>
      <c r="P141" s="584">
        <v>2400</v>
      </c>
      <c r="Q141" s="584">
        <v>2400</v>
      </c>
      <c r="R141" s="584">
        <f t="shared" si="12"/>
        <v>13800</v>
      </c>
      <c r="S141" s="599">
        <f t="shared" si="13"/>
        <v>225.85924713584288</v>
      </c>
      <c r="T141" s="587"/>
      <c r="U141" s="585"/>
      <c r="V141" s="584">
        <v>54.6</v>
      </c>
      <c r="W141" s="584">
        <v>4200</v>
      </c>
      <c r="X141" s="584">
        <v>4200</v>
      </c>
      <c r="Y141" s="584">
        <v>4200</v>
      </c>
      <c r="Z141" s="584"/>
      <c r="AA141" s="584">
        <f t="shared" si="14"/>
        <v>12600</v>
      </c>
      <c r="AB141" s="599">
        <f t="shared" si="15"/>
        <v>230.76923076923077</v>
      </c>
      <c r="AC141" s="587"/>
    </row>
    <row r="142" spans="9:29" x14ac:dyDescent="0.2">
      <c r="I142" s="587"/>
      <c r="J142" s="587"/>
      <c r="K142" s="584">
        <v>62.8</v>
      </c>
      <c r="L142" s="584">
        <v>2100</v>
      </c>
      <c r="M142" s="584">
        <v>2100</v>
      </c>
      <c r="N142" s="584">
        <v>2400</v>
      </c>
      <c r="O142" s="584">
        <v>2400</v>
      </c>
      <c r="P142" s="584">
        <v>2400</v>
      </c>
      <c r="Q142" s="584">
        <v>2400</v>
      </c>
      <c r="R142" s="584">
        <f t="shared" si="12"/>
        <v>13800</v>
      </c>
      <c r="S142" s="599">
        <f t="shared" si="13"/>
        <v>219.74522292993632</v>
      </c>
      <c r="T142" s="587"/>
      <c r="U142" s="585"/>
      <c r="V142" s="584">
        <v>54.6</v>
      </c>
      <c r="W142" s="584">
        <v>4200</v>
      </c>
      <c r="X142" s="584">
        <v>4200</v>
      </c>
      <c r="Y142" s="584">
        <v>4200</v>
      </c>
      <c r="Z142" s="584"/>
      <c r="AA142" s="584">
        <f t="shared" si="14"/>
        <v>12600</v>
      </c>
      <c r="AB142" s="599">
        <f t="shared" si="15"/>
        <v>230.76923076923077</v>
      </c>
      <c r="AC142" s="587"/>
    </row>
    <row r="143" spans="9:29" x14ac:dyDescent="0.2">
      <c r="I143" s="587"/>
      <c r="J143" s="587"/>
      <c r="K143" s="584">
        <v>62.9</v>
      </c>
      <c r="L143" s="584">
        <v>2100</v>
      </c>
      <c r="M143" s="584">
        <v>2400</v>
      </c>
      <c r="N143" s="584">
        <v>2400</v>
      </c>
      <c r="O143" s="584">
        <v>2400</v>
      </c>
      <c r="P143" s="584">
        <v>2400</v>
      </c>
      <c r="Q143" s="584">
        <v>2400</v>
      </c>
      <c r="R143" s="584">
        <f t="shared" si="12"/>
        <v>14100</v>
      </c>
      <c r="S143" s="599">
        <f t="shared" si="13"/>
        <v>224.16534181240064</v>
      </c>
      <c r="T143" s="587"/>
      <c r="U143" s="585"/>
      <c r="V143" s="584">
        <v>54.6</v>
      </c>
      <c r="W143" s="584">
        <v>4200</v>
      </c>
      <c r="X143" s="584">
        <v>4200</v>
      </c>
      <c r="Y143" s="584">
        <v>4200</v>
      </c>
      <c r="Z143" s="584"/>
      <c r="AA143" s="584">
        <f t="shared" si="14"/>
        <v>12600</v>
      </c>
      <c r="AB143" s="599">
        <f t="shared" si="15"/>
        <v>230.76923076923077</v>
      </c>
      <c r="AC143" s="587"/>
    </row>
    <row r="144" spans="9:29" x14ac:dyDescent="0.2">
      <c r="I144" s="587"/>
      <c r="J144" s="587"/>
      <c r="K144" s="584">
        <v>64</v>
      </c>
      <c r="L144" s="584">
        <v>2100</v>
      </c>
      <c r="M144" s="584">
        <v>2400</v>
      </c>
      <c r="N144" s="584">
        <v>2400</v>
      </c>
      <c r="O144" s="584">
        <v>2400</v>
      </c>
      <c r="P144" s="584">
        <v>2400</v>
      </c>
      <c r="Q144" s="584">
        <v>2400</v>
      </c>
      <c r="R144" s="584">
        <f t="shared" si="12"/>
        <v>14100</v>
      </c>
      <c r="S144" s="599">
        <f t="shared" si="13"/>
        <v>220.3125</v>
      </c>
      <c r="T144" s="587"/>
      <c r="U144" s="585"/>
      <c r="V144" s="584">
        <v>54.6</v>
      </c>
      <c r="W144" s="584">
        <v>4200</v>
      </c>
      <c r="X144" s="584">
        <v>4200</v>
      </c>
      <c r="Y144" s="584">
        <v>4200</v>
      </c>
      <c r="Z144" s="584"/>
      <c r="AA144" s="584">
        <f t="shared" si="14"/>
        <v>12600</v>
      </c>
      <c r="AB144" s="599">
        <f t="shared" si="15"/>
        <v>230.76923076923077</v>
      </c>
      <c r="AC144" s="587"/>
    </row>
    <row r="145" spans="9:29" x14ac:dyDescent="0.2">
      <c r="I145" s="587"/>
      <c r="J145" s="587"/>
      <c r="K145" s="584">
        <v>64.099999999999994</v>
      </c>
      <c r="L145" s="584">
        <v>2400</v>
      </c>
      <c r="M145" s="584">
        <v>2400</v>
      </c>
      <c r="N145" s="584">
        <v>2400</v>
      </c>
      <c r="O145" s="584">
        <v>2400</v>
      </c>
      <c r="P145" s="584">
        <v>2400</v>
      </c>
      <c r="Q145" s="584">
        <v>2400</v>
      </c>
      <c r="R145" s="584">
        <f t="shared" si="12"/>
        <v>14400</v>
      </c>
      <c r="S145" s="599">
        <f t="shared" si="13"/>
        <v>224.64898595943839</v>
      </c>
      <c r="T145" s="587"/>
      <c r="U145" s="585"/>
      <c r="V145" s="584">
        <v>54.6</v>
      </c>
      <c r="W145" s="584">
        <v>4200</v>
      </c>
      <c r="X145" s="584">
        <v>4200</v>
      </c>
      <c r="Y145" s="584">
        <v>4200</v>
      </c>
      <c r="Z145" s="584"/>
      <c r="AA145" s="584">
        <f t="shared" si="14"/>
        <v>12600</v>
      </c>
      <c r="AB145" s="599">
        <f t="shared" si="15"/>
        <v>230.76923076923077</v>
      </c>
      <c r="AC145" s="587"/>
    </row>
    <row r="146" spans="9:29" x14ac:dyDescent="0.2">
      <c r="I146" s="587"/>
      <c r="J146" s="587"/>
      <c r="K146" s="584">
        <v>65.5</v>
      </c>
      <c r="L146" s="584">
        <v>2400</v>
      </c>
      <c r="M146" s="584">
        <v>2400</v>
      </c>
      <c r="N146" s="584">
        <v>2400</v>
      </c>
      <c r="O146" s="584">
        <v>2400</v>
      </c>
      <c r="P146" s="584">
        <v>2400</v>
      </c>
      <c r="Q146" s="584">
        <v>2400</v>
      </c>
      <c r="R146" s="584">
        <f t="shared" si="12"/>
        <v>14400</v>
      </c>
      <c r="S146" s="599">
        <f t="shared" si="13"/>
        <v>219.84732824427482</v>
      </c>
      <c r="T146" s="587"/>
      <c r="U146" s="585"/>
      <c r="V146" s="584">
        <v>54.6</v>
      </c>
      <c r="W146" s="584">
        <v>4200</v>
      </c>
      <c r="X146" s="584">
        <v>4200</v>
      </c>
      <c r="Y146" s="584">
        <v>4200</v>
      </c>
      <c r="Z146" s="584"/>
      <c r="AA146" s="584">
        <f t="shared" si="14"/>
        <v>12600</v>
      </c>
      <c r="AB146" s="599">
        <f t="shared" si="15"/>
        <v>230.76923076923077</v>
      </c>
      <c r="AC146" s="587"/>
    </row>
    <row r="147" spans="9:29" x14ac:dyDescent="0.2">
      <c r="I147" s="587"/>
      <c r="J147" s="587"/>
      <c r="K147" s="584">
        <v>65.599999999999994</v>
      </c>
      <c r="L147" s="584">
        <v>2400</v>
      </c>
      <c r="M147" s="584">
        <v>2400</v>
      </c>
      <c r="N147" s="584">
        <v>2400</v>
      </c>
      <c r="O147" s="584">
        <v>2400</v>
      </c>
      <c r="P147" s="584">
        <v>2400</v>
      </c>
      <c r="Q147" s="584">
        <v>3000</v>
      </c>
      <c r="R147" s="584">
        <f t="shared" si="12"/>
        <v>15000</v>
      </c>
      <c r="S147" s="599">
        <f t="shared" si="13"/>
        <v>228.65853658536588</v>
      </c>
      <c r="T147" s="587"/>
      <c r="U147" s="585"/>
      <c r="V147" s="584">
        <v>54.6</v>
      </c>
      <c r="W147" s="584">
        <v>4200</v>
      </c>
      <c r="X147" s="584">
        <v>4200</v>
      </c>
      <c r="Y147" s="584">
        <v>4200</v>
      </c>
      <c r="Z147" s="584"/>
      <c r="AA147" s="584">
        <f t="shared" si="14"/>
        <v>12600</v>
      </c>
      <c r="AB147" s="599">
        <f t="shared" si="15"/>
        <v>230.76923076923077</v>
      </c>
      <c r="AC147" s="587"/>
    </row>
    <row r="148" spans="9:29" x14ac:dyDescent="0.2">
      <c r="I148" s="587"/>
      <c r="J148" s="587"/>
      <c r="K148" s="584">
        <v>68.2</v>
      </c>
      <c r="L148" s="584">
        <v>2400</v>
      </c>
      <c r="M148" s="584">
        <v>2400</v>
      </c>
      <c r="N148" s="584">
        <v>2400</v>
      </c>
      <c r="O148" s="584">
        <v>2400</v>
      </c>
      <c r="P148" s="584">
        <v>2400</v>
      </c>
      <c r="Q148" s="584">
        <v>3000</v>
      </c>
      <c r="R148" s="584">
        <f t="shared" si="12"/>
        <v>15000</v>
      </c>
      <c r="S148" s="599">
        <f t="shared" si="13"/>
        <v>219.94134897360703</v>
      </c>
      <c r="T148" s="587"/>
      <c r="U148" s="585"/>
      <c r="V148" s="584">
        <v>54.6</v>
      </c>
      <c r="W148" s="584">
        <v>4200</v>
      </c>
      <c r="X148" s="584">
        <v>4200</v>
      </c>
      <c r="Y148" s="584">
        <v>4200</v>
      </c>
      <c r="Z148" s="584"/>
      <c r="AA148" s="584">
        <f t="shared" si="14"/>
        <v>12600</v>
      </c>
      <c r="AB148" s="599">
        <f t="shared" si="15"/>
        <v>230.76923076923077</v>
      </c>
      <c r="AC148" s="587"/>
    </row>
    <row r="149" spans="9:29" x14ac:dyDescent="0.2">
      <c r="I149" s="587"/>
      <c r="J149" s="587"/>
      <c r="K149" s="584">
        <v>68.3</v>
      </c>
      <c r="L149" s="584">
        <v>2400</v>
      </c>
      <c r="M149" s="584">
        <v>2400</v>
      </c>
      <c r="N149" s="584">
        <v>2400</v>
      </c>
      <c r="O149" s="584">
        <v>2400</v>
      </c>
      <c r="P149" s="584">
        <v>3000</v>
      </c>
      <c r="Q149" s="584">
        <v>3000</v>
      </c>
      <c r="R149" s="584">
        <f t="shared" si="12"/>
        <v>15600</v>
      </c>
      <c r="S149" s="599">
        <f t="shared" si="13"/>
        <v>228.40409956076135</v>
      </c>
      <c r="T149" s="587"/>
      <c r="U149" s="585"/>
      <c r="V149" s="584">
        <v>54.6</v>
      </c>
      <c r="W149" s="584">
        <v>4200</v>
      </c>
      <c r="X149" s="584">
        <v>4200</v>
      </c>
      <c r="Y149" s="584">
        <v>4200</v>
      </c>
      <c r="Z149" s="584"/>
      <c r="AA149" s="584">
        <f t="shared" si="14"/>
        <v>12600</v>
      </c>
      <c r="AB149" s="599">
        <f t="shared" si="15"/>
        <v>230.76923076923077</v>
      </c>
      <c r="AC149" s="587"/>
    </row>
    <row r="150" spans="9:29" x14ac:dyDescent="0.2">
      <c r="I150" s="587"/>
      <c r="J150" s="587"/>
      <c r="K150" s="584">
        <v>71</v>
      </c>
      <c r="L150" s="584">
        <v>2400</v>
      </c>
      <c r="M150" s="584">
        <v>2400</v>
      </c>
      <c r="N150" s="584">
        <v>2400</v>
      </c>
      <c r="O150" s="584">
        <v>2400</v>
      </c>
      <c r="P150" s="584">
        <v>3000</v>
      </c>
      <c r="Q150" s="584">
        <v>3000</v>
      </c>
      <c r="R150" s="584">
        <f t="shared" si="12"/>
        <v>15600</v>
      </c>
      <c r="S150" s="599">
        <f t="shared" si="13"/>
        <v>219.71830985915494</v>
      </c>
      <c r="T150" s="587"/>
      <c r="U150" s="585"/>
      <c r="V150" s="584">
        <v>54.6</v>
      </c>
      <c r="W150" s="584">
        <v>4200</v>
      </c>
      <c r="X150" s="584">
        <v>4200</v>
      </c>
      <c r="Y150" s="584">
        <v>4200</v>
      </c>
      <c r="Z150" s="584"/>
      <c r="AA150" s="584">
        <f t="shared" si="14"/>
        <v>12600</v>
      </c>
      <c r="AB150" s="599">
        <f t="shared" si="15"/>
        <v>230.76923076923077</v>
      </c>
      <c r="AC150" s="587"/>
    </row>
    <row r="151" spans="9:29" x14ac:dyDescent="0.2">
      <c r="I151" s="587"/>
      <c r="J151" s="587"/>
      <c r="K151" s="584">
        <v>71.099999999999994</v>
      </c>
      <c r="L151" s="584">
        <v>2400</v>
      </c>
      <c r="M151" s="584">
        <v>2400</v>
      </c>
      <c r="N151" s="584">
        <v>2400</v>
      </c>
      <c r="O151" s="584">
        <v>3000</v>
      </c>
      <c r="P151" s="584">
        <v>3000</v>
      </c>
      <c r="Q151" s="584">
        <v>3000</v>
      </c>
      <c r="R151" s="584">
        <f t="shared" si="12"/>
        <v>16200</v>
      </c>
      <c r="S151" s="599">
        <f t="shared" si="13"/>
        <v>227.84810126582281</v>
      </c>
      <c r="T151" s="587"/>
      <c r="U151" s="585"/>
      <c r="V151" s="584">
        <v>54.6</v>
      </c>
      <c r="W151" s="584">
        <v>4200</v>
      </c>
      <c r="X151" s="584">
        <v>4200</v>
      </c>
      <c r="Y151" s="584">
        <v>4200</v>
      </c>
      <c r="Z151" s="584"/>
      <c r="AA151" s="584">
        <f t="shared" si="14"/>
        <v>12600</v>
      </c>
      <c r="AB151" s="599">
        <f t="shared" si="15"/>
        <v>230.76923076923077</v>
      </c>
      <c r="AC151" s="587"/>
    </row>
    <row r="152" spans="9:29" x14ac:dyDescent="0.2">
      <c r="I152" s="587"/>
      <c r="J152" s="587"/>
      <c r="K152" s="584">
        <v>73.599999999999994</v>
      </c>
      <c r="L152" s="584">
        <v>2400</v>
      </c>
      <c r="M152" s="584">
        <v>2400</v>
      </c>
      <c r="N152" s="584">
        <v>2400</v>
      </c>
      <c r="O152" s="584">
        <v>3000</v>
      </c>
      <c r="P152" s="584">
        <v>3000</v>
      </c>
      <c r="Q152" s="584">
        <v>3000</v>
      </c>
      <c r="R152" s="584">
        <f t="shared" si="12"/>
        <v>16200</v>
      </c>
      <c r="S152" s="599">
        <f t="shared" si="13"/>
        <v>220.10869565217394</v>
      </c>
      <c r="T152" s="587"/>
      <c r="U152" s="585"/>
      <c r="V152" s="584">
        <v>54.6</v>
      </c>
      <c r="W152" s="584">
        <v>4200</v>
      </c>
      <c r="X152" s="584">
        <v>4200</v>
      </c>
      <c r="Y152" s="584">
        <v>4200</v>
      </c>
      <c r="Z152" s="584"/>
      <c r="AA152" s="584">
        <f t="shared" si="14"/>
        <v>12600</v>
      </c>
      <c r="AB152" s="599">
        <f t="shared" si="15"/>
        <v>230.76923076923077</v>
      </c>
      <c r="AC152" s="587"/>
    </row>
    <row r="153" spans="9:29" x14ac:dyDescent="0.2">
      <c r="I153" s="587"/>
      <c r="J153" s="587"/>
      <c r="K153" s="584">
        <v>73.7</v>
      </c>
      <c r="L153" s="584">
        <v>2400</v>
      </c>
      <c r="M153" s="584">
        <v>2400</v>
      </c>
      <c r="N153" s="584">
        <v>3000</v>
      </c>
      <c r="O153" s="584">
        <v>3000</v>
      </c>
      <c r="P153" s="584">
        <v>3000</v>
      </c>
      <c r="Q153" s="584">
        <v>3000</v>
      </c>
      <c r="R153" s="584">
        <f t="shared" si="12"/>
        <v>16800</v>
      </c>
      <c r="S153" s="599">
        <f t="shared" si="13"/>
        <v>227.95115332428765</v>
      </c>
      <c r="T153" s="587"/>
      <c r="U153" s="585"/>
      <c r="V153" s="584">
        <v>54.6</v>
      </c>
      <c r="W153" s="584">
        <v>4200</v>
      </c>
      <c r="X153" s="584">
        <v>4200</v>
      </c>
      <c r="Y153" s="584">
        <v>4200</v>
      </c>
      <c r="Z153" s="584"/>
      <c r="AA153" s="584">
        <f t="shared" si="14"/>
        <v>12600</v>
      </c>
      <c r="AB153" s="599">
        <f t="shared" si="15"/>
        <v>230.76923076923077</v>
      </c>
      <c r="AC153" s="587"/>
    </row>
    <row r="154" spans="9:29" x14ac:dyDescent="0.2">
      <c r="I154" s="587"/>
      <c r="J154" s="587"/>
      <c r="K154" s="584">
        <v>76.3</v>
      </c>
      <c r="L154" s="584">
        <v>2400</v>
      </c>
      <c r="M154" s="584">
        <v>2400</v>
      </c>
      <c r="N154" s="584">
        <v>3000</v>
      </c>
      <c r="O154" s="584">
        <v>3000</v>
      </c>
      <c r="P154" s="584">
        <v>3000</v>
      </c>
      <c r="Q154" s="584">
        <v>3000</v>
      </c>
      <c r="R154" s="584">
        <f t="shared" si="12"/>
        <v>16800</v>
      </c>
      <c r="S154" s="599">
        <f t="shared" si="13"/>
        <v>220.18348623853211</v>
      </c>
      <c r="T154" s="587"/>
      <c r="U154" s="585"/>
      <c r="V154" s="584">
        <v>54.6</v>
      </c>
      <c r="W154" s="584">
        <v>4200</v>
      </c>
      <c r="X154" s="584">
        <v>4200</v>
      </c>
      <c r="Y154" s="584">
        <v>4200</v>
      </c>
      <c r="Z154" s="584"/>
      <c r="AA154" s="584">
        <f t="shared" si="14"/>
        <v>12600</v>
      </c>
      <c r="AB154" s="599">
        <f t="shared" si="15"/>
        <v>230.76923076923077</v>
      </c>
      <c r="AC154" s="587"/>
    </row>
    <row r="155" spans="9:29" x14ac:dyDescent="0.2">
      <c r="I155" s="587"/>
      <c r="J155" s="587"/>
      <c r="K155" s="584">
        <v>76.400000000000006</v>
      </c>
      <c r="L155" s="584">
        <v>2400</v>
      </c>
      <c r="M155" s="584">
        <v>3000</v>
      </c>
      <c r="N155" s="584">
        <v>3000</v>
      </c>
      <c r="O155" s="584">
        <v>3000</v>
      </c>
      <c r="P155" s="584">
        <v>3000</v>
      </c>
      <c r="Q155" s="584">
        <v>3000</v>
      </c>
      <c r="R155" s="584">
        <f t="shared" si="12"/>
        <v>17400</v>
      </c>
      <c r="S155" s="599">
        <f t="shared" si="13"/>
        <v>227.74869109947642</v>
      </c>
      <c r="T155" s="587"/>
      <c r="U155" s="585"/>
      <c r="V155" s="584">
        <v>54.6</v>
      </c>
      <c r="W155" s="584">
        <v>4200</v>
      </c>
      <c r="X155" s="584">
        <v>4200</v>
      </c>
      <c r="Y155" s="584">
        <v>4200</v>
      </c>
      <c r="Z155" s="584"/>
      <c r="AA155" s="584">
        <f t="shared" si="14"/>
        <v>12600</v>
      </c>
      <c r="AB155" s="599">
        <f t="shared" si="15"/>
        <v>230.76923076923077</v>
      </c>
      <c r="AC155" s="587"/>
    </row>
    <row r="156" spans="9:29" x14ac:dyDescent="0.2">
      <c r="I156" s="587"/>
      <c r="J156" s="587"/>
      <c r="K156" s="584">
        <v>79</v>
      </c>
      <c r="L156" s="584">
        <v>2400</v>
      </c>
      <c r="M156" s="584">
        <v>3000</v>
      </c>
      <c r="N156" s="584">
        <v>3000</v>
      </c>
      <c r="O156" s="584">
        <v>3000</v>
      </c>
      <c r="P156" s="584">
        <v>3000</v>
      </c>
      <c r="Q156" s="584">
        <v>3000</v>
      </c>
      <c r="R156" s="584">
        <f t="shared" si="12"/>
        <v>17400</v>
      </c>
      <c r="S156" s="599">
        <f t="shared" si="13"/>
        <v>220.25316455696202</v>
      </c>
      <c r="T156" s="587"/>
      <c r="U156" s="585"/>
      <c r="V156" s="584">
        <v>54.6</v>
      </c>
      <c r="W156" s="584">
        <v>4200</v>
      </c>
      <c r="X156" s="584">
        <v>4200</v>
      </c>
      <c r="Y156" s="584">
        <v>4200</v>
      </c>
      <c r="Z156" s="584"/>
      <c r="AA156" s="584">
        <f t="shared" si="14"/>
        <v>12600</v>
      </c>
      <c r="AB156" s="599">
        <f t="shared" si="15"/>
        <v>230.76923076923077</v>
      </c>
      <c r="AC156" s="587"/>
    </row>
    <row r="157" spans="9:29" x14ac:dyDescent="0.2">
      <c r="I157" s="587"/>
      <c r="J157" s="587"/>
      <c r="K157" s="584">
        <v>79.099999999999994</v>
      </c>
      <c r="L157" s="584">
        <v>3000</v>
      </c>
      <c r="M157" s="584">
        <v>3000</v>
      </c>
      <c r="N157" s="584">
        <v>3000</v>
      </c>
      <c r="O157" s="584">
        <v>3000</v>
      </c>
      <c r="P157" s="584">
        <v>3000</v>
      </c>
      <c r="Q157" s="584">
        <v>3000</v>
      </c>
      <c r="R157" s="584">
        <f t="shared" si="12"/>
        <v>18000</v>
      </c>
      <c r="S157" s="599">
        <f t="shared" si="13"/>
        <v>227.56005056890015</v>
      </c>
      <c r="T157" s="587"/>
      <c r="U157" s="585"/>
      <c r="V157" s="584">
        <v>54.6</v>
      </c>
      <c r="W157" s="584">
        <v>4200</v>
      </c>
      <c r="X157" s="584">
        <v>4200</v>
      </c>
      <c r="Y157" s="584">
        <v>4200</v>
      </c>
      <c r="Z157" s="584"/>
      <c r="AA157" s="584">
        <f t="shared" si="14"/>
        <v>12600</v>
      </c>
      <c r="AB157" s="599">
        <f t="shared" si="15"/>
        <v>230.76923076923077</v>
      </c>
      <c r="AC157" s="587"/>
    </row>
    <row r="158" spans="9:29" x14ac:dyDescent="0.2">
      <c r="I158" s="587"/>
      <c r="J158" s="587"/>
      <c r="K158" s="584">
        <v>82</v>
      </c>
      <c r="L158" s="584">
        <v>3000</v>
      </c>
      <c r="M158" s="584">
        <v>3000</v>
      </c>
      <c r="N158" s="584">
        <v>3000</v>
      </c>
      <c r="O158" s="584">
        <v>3000</v>
      </c>
      <c r="P158" s="584">
        <v>3000</v>
      </c>
      <c r="Q158" s="584">
        <v>3000</v>
      </c>
      <c r="R158" s="584">
        <f t="shared" si="12"/>
        <v>18000</v>
      </c>
      <c r="S158" s="599">
        <f t="shared" si="13"/>
        <v>219.51219512195121</v>
      </c>
      <c r="T158" s="587"/>
      <c r="U158" s="585"/>
      <c r="V158" s="584">
        <v>54.6</v>
      </c>
      <c r="W158" s="584">
        <v>4200</v>
      </c>
      <c r="X158" s="584">
        <v>4200</v>
      </c>
      <c r="Y158" s="584">
        <v>4200</v>
      </c>
      <c r="Z158" s="584"/>
      <c r="AA158" s="584">
        <f t="shared" si="14"/>
        <v>12600</v>
      </c>
      <c r="AB158" s="599">
        <f t="shared" si="15"/>
        <v>230.76923076923077</v>
      </c>
      <c r="AC158" s="587"/>
    </row>
    <row r="159" spans="9:29" x14ac:dyDescent="0.2">
      <c r="I159" s="587"/>
      <c r="J159" s="587"/>
      <c r="K159" s="584">
        <v>82.1</v>
      </c>
      <c r="L159" s="584">
        <v>3000</v>
      </c>
      <c r="M159" s="584">
        <v>3000</v>
      </c>
      <c r="N159" s="584">
        <v>3000</v>
      </c>
      <c r="O159" s="584">
        <v>3000</v>
      </c>
      <c r="P159" s="584">
        <v>3000</v>
      </c>
      <c r="Q159" s="584">
        <v>3400</v>
      </c>
      <c r="R159" s="584">
        <f t="shared" si="12"/>
        <v>18400</v>
      </c>
      <c r="S159" s="599">
        <f t="shared" si="13"/>
        <v>224.1169305724726</v>
      </c>
      <c r="T159" s="587"/>
      <c r="U159" s="585"/>
      <c r="V159" s="584">
        <v>54.6</v>
      </c>
      <c r="W159" s="584">
        <v>4200</v>
      </c>
      <c r="X159" s="584">
        <v>4200</v>
      </c>
      <c r="Y159" s="584">
        <v>4200</v>
      </c>
      <c r="Z159" s="584"/>
      <c r="AA159" s="584">
        <f t="shared" si="14"/>
        <v>12600</v>
      </c>
      <c r="AB159" s="599">
        <f t="shared" si="15"/>
        <v>230.76923076923077</v>
      </c>
      <c r="AC159" s="587"/>
    </row>
    <row r="160" spans="9:29" x14ac:dyDescent="0.2">
      <c r="I160" s="587"/>
      <c r="J160" s="587"/>
      <c r="K160" s="584">
        <v>83.6</v>
      </c>
      <c r="L160" s="584">
        <v>3000</v>
      </c>
      <c r="M160" s="584">
        <v>3000</v>
      </c>
      <c r="N160" s="584">
        <v>3000</v>
      </c>
      <c r="O160" s="584">
        <v>3000</v>
      </c>
      <c r="P160" s="584">
        <v>3000</v>
      </c>
      <c r="Q160" s="584">
        <v>3400</v>
      </c>
      <c r="R160" s="584">
        <f t="shared" si="12"/>
        <v>18400</v>
      </c>
      <c r="S160" s="599">
        <f t="shared" si="13"/>
        <v>220.09569377990431</v>
      </c>
      <c r="T160" s="587"/>
      <c r="U160" s="585"/>
      <c r="V160" s="584">
        <v>54.6</v>
      </c>
      <c r="W160" s="584">
        <v>4200</v>
      </c>
      <c r="X160" s="584">
        <v>4200</v>
      </c>
      <c r="Y160" s="584">
        <v>4200</v>
      </c>
      <c r="Z160" s="584"/>
      <c r="AA160" s="584">
        <f t="shared" si="14"/>
        <v>12600</v>
      </c>
      <c r="AB160" s="599">
        <f t="shared" si="15"/>
        <v>230.76923076923077</v>
      </c>
      <c r="AC160" s="587"/>
    </row>
    <row r="161" spans="9:29" x14ac:dyDescent="0.2">
      <c r="I161" s="587"/>
      <c r="J161" s="587"/>
      <c r="K161" s="584">
        <v>83.7</v>
      </c>
      <c r="L161" s="584">
        <v>3000</v>
      </c>
      <c r="M161" s="584">
        <v>3000</v>
      </c>
      <c r="N161" s="584">
        <v>3000</v>
      </c>
      <c r="O161" s="584">
        <v>3000</v>
      </c>
      <c r="P161" s="584">
        <v>3400</v>
      </c>
      <c r="Q161" s="584">
        <v>3400</v>
      </c>
      <c r="R161" s="584">
        <f t="shared" si="12"/>
        <v>18800</v>
      </c>
      <c r="S161" s="599">
        <f t="shared" si="13"/>
        <v>224.61170848267622</v>
      </c>
      <c r="T161" s="587"/>
      <c r="U161" s="585"/>
      <c r="V161" s="584">
        <v>54.6</v>
      </c>
      <c r="W161" s="584">
        <v>4200</v>
      </c>
      <c r="X161" s="584">
        <v>4200</v>
      </c>
      <c r="Y161" s="584">
        <v>4200</v>
      </c>
      <c r="Z161" s="584"/>
      <c r="AA161" s="584">
        <f t="shared" si="14"/>
        <v>12600</v>
      </c>
      <c r="AB161" s="599">
        <f t="shared" si="15"/>
        <v>230.76923076923077</v>
      </c>
      <c r="AC161" s="587"/>
    </row>
    <row r="162" spans="9:29" x14ac:dyDescent="0.2">
      <c r="I162" s="587"/>
      <c r="J162" s="587"/>
      <c r="K162" s="584">
        <v>85.3</v>
      </c>
      <c r="L162" s="584">
        <v>3000</v>
      </c>
      <c r="M162" s="584">
        <v>3000</v>
      </c>
      <c r="N162" s="584">
        <v>3000</v>
      </c>
      <c r="O162" s="584">
        <v>3000</v>
      </c>
      <c r="P162" s="584">
        <v>3400</v>
      </c>
      <c r="Q162" s="584">
        <v>3400</v>
      </c>
      <c r="R162" s="584">
        <f t="shared" si="12"/>
        <v>18800</v>
      </c>
      <c r="S162" s="599">
        <f t="shared" si="13"/>
        <v>220.39859320046895</v>
      </c>
      <c r="T162" s="587"/>
      <c r="U162" s="585"/>
      <c r="V162" s="584">
        <v>54.6</v>
      </c>
      <c r="W162" s="584">
        <v>4200</v>
      </c>
      <c r="X162" s="584">
        <v>4200</v>
      </c>
      <c r="Y162" s="584">
        <v>4200</v>
      </c>
      <c r="Z162" s="584"/>
      <c r="AA162" s="584">
        <f t="shared" si="14"/>
        <v>12600</v>
      </c>
      <c r="AB162" s="599">
        <f t="shared" si="15"/>
        <v>230.76923076923077</v>
      </c>
      <c r="AC162" s="587"/>
    </row>
    <row r="163" spans="9:29" x14ac:dyDescent="0.2">
      <c r="I163" s="587"/>
      <c r="J163" s="587"/>
      <c r="K163" s="584">
        <v>85.4</v>
      </c>
      <c r="L163" s="584">
        <v>3000</v>
      </c>
      <c r="M163" s="584">
        <v>3000</v>
      </c>
      <c r="N163" s="584">
        <v>3000</v>
      </c>
      <c r="O163" s="584">
        <v>3400</v>
      </c>
      <c r="P163" s="584">
        <v>3400</v>
      </c>
      <c r="Q163" s="584">
        <v>3400</v>
      </c>
      <c r="R163" s="584">
        <f t="shared" si="12"/>
        <v>19200</v>
      </c>
      <c r="S163" s="599">
        <f t="shared" si="13"/>
        <v>224.82435597189695</v>
      </c>
      <c r="T163" s="587"/>
      <c r="U163" s="585"/>
      <c r="V163" s="584">
        <v>54.6</v>
      </c>
      <c r="W163" s="584">
        <v>4200</v>
      </c>
      <c r="X163" s="584">
        <v>4200</v>
      </c>
      <c r="Y163" s="584">
        <v>4200</v>
      </c>
      <c r="Z163" s="584"/>
      <c r="AA163" s="584">
        <f t="shared" si="14"/>
        <v>12600</v>
      </c>
      <c r="AB163" s="599">
        <f t="shared" si="15"/>
        <v>230.76923076923077</v>
      </c>
      <c r="AC163" s="587"/>
    </row>
    <row r="164" spans="9:29" x14ac:dyDescent="0.2">
      <c r="I164" s="587"/>
      <c r="J164" s="587"/>
      <c r="K164" s="584">
        <v>87.2</v>
      </c>
      <c r="L164" s="584">
        <v>3000</v>
      </c>
      <c r="M164" s="584">
        <v>3000</v>
      </c>
      <c r="N164" s="584">
        <v>3000</v>
      </c>
      <c r="O164" s="584">
        <v>3400</v>
      </c>
      <c r="P164" s="584">
        <v>3400</v>
      </c>
      <c r="Q164" s="584">
        <v>3400</v>
      </c>
      <c r="R164" s="584">
        <f t="shared" si="12"/>
        <v>19200</v>
      </c>
      <c r="S164" s="599">
        <f t="shared" si="13"/>
        <v>220.18348623853211</v>
      </c>
      <c r="T164" s="587"/>
      <c r="U164" s="585"/>
      <c r="V164" s="584">
        <v>54.6</v>
      </c>
      <c r="W164" s="584">
        <v>4200</v>
      </c>
      <c r="X164" s="584">
        <v>4200</v>
      </c>
      <c r="Y164" s="584">
        <v>4200</v>
      </c>
      <c r="Z164" s="584"/>
      <c r="AA164" s="584">
        <f t="shared" si="14"/>
        <v>12600</v>
      </c>
      <c r="AB164" s="599">
        <f t="shared" si="15"/>
        <v>230.76923076923077</v>
      </c>
      <c r="AC164" s="587"/>
    </row>
    <row r="165" spans="9:29" x14ac:dyDescent="0.2">
      <c r="I165" s="587"/>
      <c r="J165" s="587"/>
      <c r="K165" s="584">
        <v>87.3</v>
      </c>
      <c r="L165" s="584">
        <v>3000</v>
      </c>
      <c r="M165" s="584">
        <v>3000</v>
      </c>
      <c r="N165" s="584">
        <v>3400</v>
      </c>
      <c r="O165" s="584">
        <v>3400</v>
      </c>
      <c r="P165" s="584">
        <v>3400</v>
      </c>
      <c r="Q165" s="584">
        <v>3400</v>
      </c>
      <c r="R165" s="584">
        <f t="shared" ref="R165:R194" si="16">L165+M165+N165+O165+P165+Q165</f>
        <v>19600</v>
      </c>
      <c r="S165" s="599">
        <f t="shared" ref="S165:S172" si="17">R165/K165</f>
        <v>224.51317296678121</v>
      </c>
      <c r="T165" s="587"/>
      <c r="U165" s="585"/>
      <c r="V165" s="584">
        <v>54.6</v>
      </c>
      <c r="W165" s="584">
        <v>4200</v>
      </c>
      <c r="X165" s="584">
        <v>4200</v>
      </c>
      <c r="Y165" s="584">
        <v>4200</v>
      </c>
      <c r="Z165" s="584"/>
      <c r="AA165" s="584">
        <f t="shared" si="14"/>
        <v>12600</v>
      </c>
      <c r="AB165" s="599">
        <f t="shared" si="15"/>
        <v>230.76923076923077</v>
      </c>
      <c r="AC165" s="587"/>
    </row>
    <row r="166" spans="9:29" x14ac:dyDescent="0.2">
      <c r="I166" s="587"/>
      <c r="J166" s="587"/>
      <c r="K166" s="584">
        <v>89.1</v>
      </c>
      <c r="L166" s="584">
        <v>3000</v>
      </c>
      <c r="M166" s="584">
        <v>3000</v>
      </c>
      <c r="N166" s="584">
        <v>3400</v>
      </c>
      <c r="O166" s="584">
        <v>3400</v>
      </c>
      <c r="P166" s="584">
        <v>3400</v>
      </c>
      <c r="Q166" s="584">
        <v>3400</v>
      </c>
      <c r="R166" s="584">
        <f t="shared" si="16"/>
        <v>19600</v>
      </c>
      <c r="S166" s="599">
        <f t="shared" si="17"/>
        <v>219.97755331088666</v>
      </c>
      <c r="T166" s="587"/>
      <c r="U166" s="585"/>
      <c r="V166" s="584">
        <v>54.6</v>
      </c>
      <c r="W166" s="584">
        <v>4200</v>
      </c>
      <c r="X166" s="584">
        <v>4200</v>
      </c>
      <c r="Y166" s="584">
        <v>4200</v>
      </c>
      <c r="Z166" s="584"/>
      <c r="AA166" s="584">
        <f t="shared" si="14"/>
        <v>12600</v>
      </c>
      <c r="AB166" s="599">
        <f t="shared" si="15"/>
        <v>230.76923076923077</v>
      </c>
      <c r="AC166" s="587"/>
    </row>
    <row r="167" spans="9:29" x14ac:dyDescent="0.2">
      <c r="I167" s="587"/>
      <c r="J167" s="587"/>
      <c r="K167" s="584">
        <v>89.2</v>
      </c>
      <c r="L167" s="584">
        <v>3000</v>
      </c>
      <c r="M167" s="584">
        <v>3400</v>
      </c>
      <c r="N167" s="584">
        <v>3400</v>
      </c>
      <c r="O167" s="584">
        <v>3400</v>
      </c>
      <c r="P167" s="584">
        <v>3400</v>
      </c>
      <c r="Q167" s="584">
        <v>3400</v>
      </c>
      <c r="R167" s="584">
        <f t="shared" si="16"/>
        <v>20000</v>
      </c>
      <c r="S167" s="599">
        <f t="shared" si="17"/>
        <v>224.2152466367713</v>
      </c>
      <c r="T167" s="587"/>
      <c r="U167" s="585"/>
      <c r="V167" s="584">
        <v>54.6</v>
      </c>
      <c r="W167" s="584">
        <v>4200</v>
      </c>
      <c r="X167" s="584">
        <v>4200</v>
      </c>
      <c r="Y167" s="584">
        <v>4200</v>
      </c>
      <c r="Z167" s="584"/>
      <c r="AA167" s="584">
        <f t="shared" si="14"/>
        <v>12600</v>
      </c>
      <c r="AB167" s="599">
        <f t="shared" si="15"/>
        <v>230.76923076923077</v>
      </c>
      <c r="AC167" s="587"/>
    </row>
    <row r="168" spans="9:29" x14ac:dyDescent="0.2">
      <c r="I168" s="587"/>
      <c r="J168" s="587"/>
      <c r="K168" s="584">
        <v>90.9</v>
      </c>
      <c r="L168" s="584">
        <v>3000</v>
      </c>
      <c r="M168" s="584">
        <v>3400</v>
      </c>
      <c r="N168" s="584">
        <v>3400</v>
      </c>
      <c r="O168" s="584">
        <v>3400</v>
      </c>
      <c r="P168" s="584">
        <v>3400</v>
      </c>
      <c r="Q168" s="584">
        <v>3400</v>
      </c>
      <c r="R168" s="584">
        <f t="shared" si="16"/>
        <v>20000</v>
      </c>
      <c r="S168" s="599">
        <f t="shared" si="17"/>
        <v>220.02200220022002</v>
      </c>
      <c r="T168" s="587"/>
      <c r="U168" s="585"/>
      <c r="V168" s="584">
        <v>54.6</v>
      </c>
      <c r="W168" s="584">
        <v>4200</v>
      </c>
      <c r="X168" s="584">
        <v>4200</v>
      </c>
      <c r="Y168" s="584">
        <v>4200</v>
      </c>
      <c r="Z168" s="584"/>
      <c r="AA168" s="584">
        <f t="shared" si="14"/>
        <v>12600</v>
      </c>
      <c r="AB168" s="599">
        <f t="shared" si="15"/>
        <v>230.76923076923077</v>
      </c>
      <c r="AC168" s="587"/>
    </row>
    <row r="169" spans="9:29" x14ac:dyDescent="0.2">
      <c r="I169" s="587"/>
      <c r="J169" s="587"/>
      <c r="K169" s="584">
        <v>91</v>
      </c>
      <c r="L169" s="584">
        <v>3400</v>
      </c>
      <c r="M169" s="584">
        <v>3400</v>
      </c>
      <c r="N169" s="584">
        <v>3400</v>
      </c>
      <c r="O169" s="584">
        <v>3400</v>
      </c>
      <c r="P169" s="584">
        <v>3400</v>
      </c>
      <c r="Q169" s="584">
        <v>3400</v>
      </c>
      <c r="R169" s="584">
        <f t="shared" si="16"/>
        <v>20400</v>
      </c>
      <c r="S169" s="599">
        <f t="shared" si="17"/>
        <v>224.17582417582418</v>
      </c>
      <c r="T169" s="587"/>
      <c r="U169" s="585"/>
      <c r="V169" s="584">
        <v>54.6</v>
      </c>
      <c r="W169" s="584">
        <v>4200</v>
      </c>
      <c r="X169" s="584">
        <v>4200</v>
      </c>
      <c r="Y169" s="584">
        <v>4200</v>
      </c>
      <c r="Z169" s="584"/>
      <c r="AA169" s="584">
        <f t="shared" si="14"/>
        <v>12600</v>
      </c>
      <c r="AB169" s="599">
        <f>AA169/V169</f>
        <v>230.76923076923077</v>
      </c>
      <c r="AC169" s="587"/>
    </row>
    <row r="170" spans="9:29" x14ac:dyDescent="0.2">
      <c r="I170" s="587"/>
      <c r="J170" s="587"/>
      <c r="K170" s="584">
        <v>92.7</v>
      </c>
      <c r="L170" s="584">
        <v>3400</v>
      </c>
      <c r="M170" s="584">
        <v>3400</v>
      </c>
      <c r="N170" s="584">
        <v>3400</v>
      </c>
      <c r="O170" s="584">
        <v>3400</v>
      </c>
      <c r="P170" s="584">
        <v>3400</v>
      </c>
      <c r="Q170" s="584">
        <v>3400</v>
      </c>
      <c r="R170" s="584">
        <f t="shared" si="16"/>
        <v>20400</v>
      </c>
      <c r="S170" s="599">
        <f t="shared" si="17"/>
        <v>220.06472491909383</v>
      </c>
      <c r="T170" s="587"/>
      <c r="U170" s="585"/>
      <c r="V170" s="584">
        <v>54.6</v>
      </c>
      <c r="W170" s="584">
        <v>4200</v>
      </c>
      <c r="X170" s="584">
        <v>4200</v>
      </c>
      <c r="Y170" s="584">
        <v>4200</v>
      </c>
      <c r="Z170" s="584"/>
      <c r="AA170" s="584">
        <f t="shared" si="14"/>
        <v>12600</v>
      </c>
      <c r="AB170" s="599">
        <f>AA170/V170</f>
        <v>230.76923076923077</v>
      </c>
      <c r="AC170" s="587"/>
    </row>
    <row r="171" spans="9:29" x14ac:dyDescent="0.2">
      <c r="I171" s="587"/>
      <c r="J171" s="587"/>
      <c r="K171" s="584">
        <v>92.8</v>
      </c>
      <c r="L171" s="584">
        <v>3400</v>
      </c>
      <c r="M171" s="584">
        <v>3400</v>
      </c>
      <c r="N171" s="584">
        <v>3400</v>
      </c>
      <c r="O171" s="584">
        <v>3400</v>
      </c>
      <c r="P171" s="584">
        <v>3400</v>
      </c>
      <c r="Q171" s="584">
        <v>3600</v>
      </c>
      <c r="R171" s="584">
        <f t="shared" si="16"/>
        <v>20600</v>
      </c>
      <c r="S171" s="599">
        <f t="shared" si="17"/>
        <v>221.98275862068965</v>
      </c>
      <c r="T171" s="587"/>
      <c r="U171" s="585"/>
      <c r="V171" s="584">
        <v>54.6</v>
      </c>
      <c r="W171" s="584">
        <v>4200</v>
      </c>
      <c r="X171" s="584">
        <v>4200</v>
      </c>
      <c r="Y171" s="584">
        <v>4200</v>
      </c>
      <c r="Z171" s="584"/>
      <c r="AA171" s="584">
        <f t="shared" si="14"/>
        <v>12600</v>
      </c>
      <c r="AB171" s="599">
        <f>AA171/V171</f>
        <v>230.76923076923077</v>
      </c>
      <c r="AC171" s="587"/>
    </row>
    <row r="172" spans="9:29" x14ac:dyDescent="0.2">
      <c r="I172" s="587"/>
      <c r="J172" s="587"/>
      <c r="K172" s="584">
        <v>93.6</v>
      </c>
      <c r="L172" s="584">
        <v>3400</v>
      </c>
      <c r="M172" s="584">
        <v>3400</v>
      </c>
      <c r="N172" s="584">
        <v>3400</v>
      </c>
      <c r="O172" s="584">
        <v>3400</v>
      </c>
      <c r="P172" s="584">
        <v>3400</v>
      </c>
      <c r="Q172" s="584">
        <v>3600</v>
      </c>
      <c r="R172" s="584">
        <f t="shared" si="16"/>
        <v>20600</v>
      </c>
      <c r="S172" s="599">
        <f t="shared" si="17"/>
        <v>220.08547008547009</v>
      </c>
      <c r="T172" s="587"/>
      <c r="U172" s="585"/>
      <c r="V172" s="584">
        <v>54.6</v>
      </c>
      <c r="W172" s="584">
        <v>4200</v>
      </c>
      <c r="X172" s="584">
        <v>4200</v>
      </c>
      <c r="Y172" s="584">
        <v>4200</v>
      </c>
      <c r="Z172" s="584"/>
      <c r="AA172" s="584">
        <f t="shared" si="14"/>
        <v>12600</v>
      </c>
      <c r="AB172" s="599">
        <f>AA172/V172</f>
        <v>230.76923076923077</v>
      </c>
      <c r="AC172" s="587"/>
    </row>
    <row r="173" spans="9:29" x14ac:dyDescent="0.2">
      <c r="I173" s="587"/>
      <c r="J173" s="587"/>
      <c r="K173" s="584">
        <v>93.7</v>
      </c>
      <c r="L173" s="584">
        <v>3400</v>
      </c>
      <c r="M173" s="584">
        <v>3400</v>
      </c>
      <c r="N173" s="584">
        <v>3400</v>
      </c>
      <c r="O173" s="584">
        <v>3400</v>
      </c>
      <c r="P173" s="584">
        <v>3600</v>
      </c>
      <c r="Q173" s="584">
        <v>3600</v>
      </c>
      <c r="R173" s="584">
        <f t="shared" si="16"/>
        <v>20800</v>
      </c>
      <c r="S173" s="599">
        <f t="shared" ref="S173:S181" si="18">R173/K173</f>
        <v>221.98505869797225</v>
      </c>
      <c r="T173" s="587"/>
      <c r="U173" s="585"/>
      <c r="V173" s="587"/>
      <c r="W173" s="587"/>
      <c r="X173" s="587"/>
      <c r="Y173" s="587"/>
      <c r="Z173" s="587"/>
      <c r="AA173" s="587"/>
      <c r="AB173" s="587"/>
      <c r="AC173" s="587"/>
    </row>
    <row r="174" spans="9:29" x14ac:dyDescent="0.2">
      <c r="I174" s="587"/>
      <c r="J174" s="587"/>
      <c r="K174" s="584">
        <v>94.5</v>
      </c>
      <c r="L174" s="584">
        <v>3400</v>
      </c>
      <c r="M174" s="584">
        <v>3400</v>
      </c>
      <c r="N174" s="584">
        <v>3400</v>
      </c>
      <c r="O174" s="584">
        <v>3400</v>
      </c>
      <c r="P174" s="584">
        <v>3600</v>
      </c>
      <c r="Q174" s="584">
        <v>3600</v>
      </c>
      <c r="R174" s="584">
        <f t="shared" si="16"/>
        <v>20800</v>
      </c>
      <c r="S174" s="599">
        <f t="shared" si="18"/>
        <v>220.1058201058201</v>
      </c>
      <c r="T174" s="587"/>
      <c r="U174" s="585"/>
      <c r="V174" s="587"/>
      <c r="W174" s="587"/>
      <c r="X174" s="587"/>
      <c r="Y174" s="587"/>
      <c r="Z174" s="587"/>
      <c r="AA174" s="587"/>
      <c r="AB174" s="587"/>
      <c r="AC174" s="587"/>
    </row>
    <row r="175" spans="9:29" x14ac:dyDescent="0.2">
      <c r="I175" s="587"/>
      <c r="J175" s="587"/>
      <c r="K175" s="584">
        <v>94.6</v>
      </c>
      <c r="L175" s="584">
        <v>3400</v>
      </c>
      <c r="M175" s="584">
        <v>3400</v>
      </c>
      <c r="N175" s="584">
        <v>3400</v>
      </c>
      <c r="O175" s="584">
        <v>3600</v>
      </c>
      <c r="P175" s="584">
        <v>3600</v>
      </c>
      <c r="Q175" s="584">
        <v>3600</v>
      </c>
      <c r="R175" s="584">
        <f t="shared" si="16"/>
        <v>21000</v>
      </c>
      <c r="S175" s="599">
        <f t="shared" si="18"/>
        <v>221.98731501057082</v>
      </c>
      <c r="T175" s="587"/>
      <c r="U175" s="585"/>
      <c r="V175" s="587"/>
      <c r="W175" s="587"/>
      <c r="X175" s="587"/>
      <c r="Y175" s="587"/>
      <c r="Z175" s="587"/>
      <c r="AA175" s="587"/>
      <c r="AB175" s="587"/>
      <c r="AC175" s="587"/>
    </row>
    <row r="176" spans="9:29" x14ac:dyDescent="0.2">
      <c r="I176" s="587"/>
      <c r="J176" s="587"/>
      <c r="K176" s="584">
        <v>95.4</v>
      </c>
      <c r="L176" s="584">
        <v>3400</v>
      </c>
      <c r="M176" s="584">
        <v>3400</v>
      </c>
      <c r="N176" s="584">
        <v>3400</v>
      </c>
      <c r="O176" s="584">
        <v>3600</v>
      </c>
      <c r="P176" s="584">
        <v>3600</v>
      </c>
      <c r="Q176" s="584">
        <v>3600</v>
      </c>
      <c r="R176" s="584">
        <f t="shared" si="16"/>
        <v>21000</v>
      </c>
      <c r="S176" s="599">
        <f t="shared" si="18"/>
        <v>220.12578616352201</v>
      </c>
      <c r="T176" s="587"/>
      <c r="U176" s="585"/>
      <c r="V176" s="587"/>
      <c r="W176" s="587"/>
      <c r="X176" s="587"/>
      <c r="Y176" s="587"/>
      <c r="Z176" s="587"/>
      <c r="AA176" s="587"/>
      <c r="AB176" s="587"/>
      <c r="AC176" s="587"/>
    </row>
    <row r="177" spans="9:29" x14ac:dyDescent="0.2">
      <c r="I177" s="587"/>
      <c r="J177" s="587"/>
      <c r="K177" s="584">
        <v>95.5</v>
      </c>
      <c r="L177" s="584">
        <v>3400</v>
      </c>
      <c r="M177" s="584">
        <v>3400</v>
      </c>
      <c r="N177" s="584">
        <v>3600</v>
      </c>
      <c r="O177" s="584">
        <v>3600</v>
      </c>
      <c r="P177" s="584">
        <v>3600</v>
      </c>
      <c r="Q177" s="584">
        <v>3600</v>
      </c>
      <c r="R177" s="584">
        <f t="shared" si="16"/>
        <v>21200</v>
      </c>
      <c r="S177" s="599">
        <f t="shared" si="18"/>
        <v>221.98952879581151</v>
      </c>
      <c r="T177" s="587"/>
      <c r="U177" s="585"/>
      <c r="V177" s="587"/>
      <c r="W177" s="587"/>
      <c r="X177" s="587"/>
      <c r="Y177" s="587"/>
      <c r="Z177" s="587"/>
      <c r="AA177" s="587"/>
      <c r="AB177" s="587"/>
      <c r="AC177" s="587"/>
    </row>
    <row r="178" spans="9:29" x14ac:dyDescent="0.2">
      <c r="I178" s="587"/>
      <c r="J178" s="587"/>
      <c r="K178" s="584">
        <v>96.3</v>
      </c>
      <c r="L178" s="584">
        <v>3400</v>
      </c>
      <c r="M178" s="584">
        <v>3400</v>
      </c>
      <c r="N178" s="584">
        <v>3600</v>
      </c>
      <c r="O178" s="584">
        <v>3600</v>
      </c>
      <c r="P178" s="584">
        <v>3600</v>
      </c>
      <c r="Q178" s="584">
        <v>3600</v>
      </c>
      <c r="R178" s="584">
        <f t="shared" si="16"/>
        <v>21200</v>
      </c>
      <c r="S178" s="599">
        <f t="shared" si="18"/>
        <v>220.14537902388369</v>
      </c>
      <c r="T178" s="587"/>
      <c r="U178" s="585"/>
      <c r="V178" s="587"/>
      <c r="W178" s="587"/>
      <c r="X178" s="587"/>
      <c r="Y178" s="587"/>
      <c r="Z178" s="587"/>
      <c r="AA178" s="587"/>
      <c r="AB178" s="587"/>
      <c r="AC178" s="587"/>
    </row>
    <row r="179" spans="9:29" x14ac:dyDescent="0.2">
      <c r="I179" s="587"/>
      <c r="J179" s="587"/>
      <c r="K179" s="584">
        <v>96.4</v>
      </c>
      <c r="L179" s="584">
        <v>3400</v>
      </c>
      <c r="M179" s="584">
        <v>3600</v>
      </c>
      <c r="N179" s="584">
        <v>3600</v>
      </c>
      <c r="O179" s="584">
        <v>3600</v>
      </c>
      <c r="P179" s="584">
        <v>3600</v>
      </c>
      <c r="Q179" s="584">
        <v>3600</v>
      </c>
      <c r="R179" s="584">
        <f t="shared" si="16"/>
        <v>21400</v>
      </c>
      <c r="S179" s="599">
        <f t="shared" si="18"/>
        <v>221.99170124481327</v>
      </c>
      <c r="T179" s="587"/>
      <c r="U179" s="585"/>
      <c r="V179" s="587"/>
      <c r="W179" s="587"/>
      <c r="X179" s="587"/>
      <c r="Y179" s="587"/>
      <c r="Z179" s="587"/>
      <c r="AA179" s="587"/>
      <c r="AB179" s="587"/>
      <c r="AC179" s="587"/>
    </row>
    <row r="180" spans="9:29" x14ac:dyDescent="0.2">
      <c r="I180" s="587"/>
      <c r="J180" s="587"/>
      <c r="K180" s="584">
        <v>97.2</v>
      </c>
      <c r="L180" s="584">
        <v>3400</v>
      </c>
      <c r="M180" s="584">
        <v>3600</v>
      </c>
      <c r="N180" s="584">
        <v>3600</v>
      </c>
      <c r="O180" s="584">
        <v>3600</v>
      </c>
      <c r="P180" s="584">
        <v>3600</v>
      </c>
      <c r="Q180" s="584">
        <v>3600</v>
      </c>
      <c r="R180" s="584">
        <f t="shared" si="16"/>
        <v>21400</v>
      </c>
      <c r="S180" s="599">
        <f t="shared" si="18"/>
        <v>220.16460905349794</v>
      </c>
      <c r="T180" s="587"/>
      <c r="U180" s="585"/>
      <c r="V180" s="587"/>
      <c r="W180" s="587"/>
      <c r="X180" s="587"/>
      <c r="Y180" s="587"/>
      <c r="Z180" s="587"/>
      <c r="AA180" s="587"/>
      <c r="AB180" s="587"/>
      <c r="AC180" s="587"/>
    </row>
    <row r="181" spans="9:29" x14ac:dyDescent="0.2">
      <c r="I181" s="587"/>
      <c r="J181" s="587"/>
      <c r="K181" s="584">
        <v>97.3</v>
      </c>
      <c r="L181" s="584">
        <v>3600</v>
      </c>
      <c r="M181" s="584">
        <v>3600</v>
      </c>
      <c r="N181" s="584">
        <v>3600</v>
      </c>
      <c r="O181" s="584">
        <v>3600</v>
      </c>
      <c r="P181" s="584">
        <v>3600</v>
      </c>
      <c r="Q181" s="584">
        <v>3600</v>
      </c>
      <c r="R181" s="584">
        <f t="shared" si="16"/>
        <v>21600</v>
      </c>
      <c r="S181" s="599">
        <f t="shared" si="18"/>
        <v>221.99383350462489</v>
      </c>
      <c r="T181" s="587"/>
      <c r="U181" s="585"/>
      <c r="V181" s="587"/>
      <c r="W181" s="587"/>
      <c r="X181" s="587"/>
      <c r="Y181" s="587"/>
      <c r="Z181" s="587"/>
      <c r="AA181" s="587"/>
      <c r="AB181" s="587"/>
      <c r="AC181" s="587"/>
    </row>
    <row r="182" spans="9:29" x14ac:dyDescent="0.2">
      <c r="I182" s="587"/>
      <c r="J182" s="587"/>
      <c r="K182" s="584">
        <v>98.2</v>
      </c>
      <c r="L182" s="584">
        <v>3600</v>
      </c>
      <c r="M182" s="584">
        <v>3600</v>
      </c>
      <c r="N182" s="584">
        <v>3600</v>
      </c>
      <c r="O182" s="584">
        <v>3600</v>
      </c>
      <c r="P182" s="584">
        <v>3600</v>
      </c>
      <c r="Q182" s="584">
        <v>3600</v>
      </c>
      <c r="R182" s="584">
        <f t="shared" si="16"/>
        <v>21600</v>
      </c>
      <c r="S182" s="599">
        <f t="shared" ref="S182:S191" si="19">R182/K182</f>
        <v>219.95926680244398</v>
      </c>
      <c r="T182" s="587"/>
      <c r="U182" s="585"/>
      <c r="V182" s="587"/>
      <c r="W182" s="587"/>
      <c r="X182" s="587"/>
      <c r="Y182" s="587"/>
      <c r="Z182" s="587"/>
      <c r="AA182" s="587"/>
      <c r="AB182" s="587"/>
      <c r="AC182" s="587"/>
    </row>
    <row r="183" spans="9:29" x14ac:dyDescent="0.2">
      <c r="I183" s="587"/>
      <c r="J183" s="587"/>
      <c r="K183" s="584">
        <v>98.3</v>
      </c>
      <c r="L183" s="584">
        <v>3600</v>
      </c>
      <c r="M183" s="584">
        <v>3600</v>
      </c>
      <c r="N183" s="584">
        <v>3600</v>
      </c>
      <c r="O183" s="584">
        <v>3600</v>
      </c>
      <c r="P183" s="584">
        <v>3600</v>
      </c>
      <c r="Q183" s="584">
        <v>4200</v>
      </c>
      <c r="R183" s="584">
        <f t="shared" si="16"/>
        <v>22200</v>
      </c>
      <c r="S183" s="599">
        <f t="shared" si="19"/>
        <v>225.83926754832146</v>
      </c>
      <c r="T183" s="587"/>
      <c r="U183" s="585"/>
      <c r="V183" s="587"/>
      <c r="W183" s="587"/>
      <c r="X183" s="587"/>
      <c r="Y183" s="587"/>
      <c r="Z183" s="587"/>
      <c r="AA183" s="587"/>
      <c r="AB183" s="587"/>
      <c r="AC183" s="587"/>
    </row>
    <row r="184" spans="9:29" x14ac:dyDescent="0.2">
      <c r="I184" s="587"/>
      <c r="J184" s="587"/>
      <c r="K184" s="584">
        <v>100.9</v>
      </c>
      <c r="L184" s="584">
        <v>3600</v>
      </c>
      <c r="M184" s="584">
        <v>3600</v>
      </c>
      <c r="N184" s="584">
        <v>3600</v>
      </c>
      <c r="O184" s="584">
        <v>3600</v>
      </c>
      <c r="P184" s="584">
        <v>3600</v>
      </c>
      <c r="Q184" s="584">
        <v>4200</v>
      </c>
      <c r="R184" s="584">
        <f t="shared" si="16"/>
        <v>22200</v>
      </c>
      <c r="S184" s="599">
        <f t="shared" si="19"/>
        <v>220.01982160555005</v>
      </c>
      <c r="T184" s="587"/>
      <c r="U184" s="585"/>
      <c r="V184" s="587"/>
      <c r="W184" s="587"/>
      <c r="X184" s="587"/>
      <c r="Y184" s="587"/>
      <c r="Z184" s="587"/>
      <c r="AA184" s="587"/>
      <c r="AB184" s="587"/>
      <c r="AC184" s="587"/>
    </row>
    <row r="185" spans="9:29" x14ac:dyDescent="0.2">
      <c r="I185" s="587" t="s">
        <v>143</v>
      </c>
      <c r="J185" s="587"/>
      <c r="K185" s="584">
        <v>101</v>
      </c>
      <c r="L185" s="584">
        <v>3600</v>
      </c>
      <c r="M185" s="584">
        <v>3600</v>
      </c>
      <c r="N185" s="584">
        <v>3600</v>
      </c>
      <c r="O185" s="584">
        <v>3600</v>
      </c>
      <c r="P185" s="584">
        <v>4200</v>
      </c>
      <c r="Q185" s="584">
        <v>4200</v>
      </c>
      <c r="R185" s="584">
        <f t="shared" si="16"/>
        <v>22800</v>
      </c>
      <c r="S185" s="599">
        <f t="shared" si="19"/>
        <v>225.74257425742573</v>
      </c>
      <c r="T185" s="587"/>
      <c r="U185" s="585"/>
      <c r="V185" s="587"/>
      <c r="W185" s="587"/>
      <c r="X185" s="587"/>
      <c r="Y185" s="587"/>
      <c r="Z185" s="587"/>
      <c r="AA185" s="587"/>
      <c r="AB185" s="587"/>
      <c r="AC185" s="587"/>
    </row>
    <row r="186" spans="9:29" x14ac:dyDescent="0.2">
      <c r="I186" s="587"/>
      <c r="J186" s="587"/>
      <c r="K186" s="584">
        <v>103.6</v>
      </c>
      <c r="L186" s="584">
        <v>3600</v>
      </c>
      <c r="M186" s="584">
        <v>3600</v>
      </c>
      <c r="N186" s="584">
        <v>3600</v>
      </c>
      <c r="O186" s="584">
        <v>3600</v>
      </c>
      <c r="P186" s="584">
        <v>4200</v>
      </c>
      <c r="Q186" s="584">
        <v>4200</v>
      </c>
      <c r="R186" s="584">
        <f t="shared" si="16"/>
        <v>22800</v>
      </c>
      <c r="S186" s="599">
        <f t="shared" si="19"/>
        <v>220.07722007722009</v>
      </c>
      <c r="T186" s="587"/>
      <c r="U186" s="585"/>
      <c r="V186" s="587"/>
      <c r="W186" s="587"/>
      <c r="X186" s="587"/>
      <c r="Y186" s="587"/>
      <c r="Z186" s="587"/>
      <c r="AA186" s="587"/>
      <c r="AB186" s="587"/>
      <c r="AC186" s="587"/>
    </row>
    <row r="187" spans="9:29" x14ac:dyDescent="0.2">
      <c r="I187" s="587"/>
      <c r="J187" s="587"/>
      <c r="K187" s="584">
        <v>103.7</v>
      </c>
      <c r="L187" s="584">
        <v>3600</v>
      </c>
      <c r="M187" s="584">
        <v>3600</v>
      </c>
      <c r="N187" s="584">
        <v>3600</v>
      </c>
      <c r="O187" s="584">
        <v>4200</v>
      </c>
      <c r="P187" s="584">
        <v>4200</v>
      </c>
      <c r="Q187" s="584">
        <v>4200</v>
      </c>
      <c r="R187" s="584">
        <f t="shared" si="16"/>
        <v>23400</v>
      </c>
      <c r="S187" s="599">
        <f t="shared" si="19"/>
        <v>225.65091610414657</v>
      </c>
      <c r="T187" s="587"/>
      <c r="U187" s="585"/>
      <c r="V187" s="587"/>
      <c r="W187" s="587"/>
      <c r="X187" s="587"/>
      <c r="Y187" s="587"/>
      <c r="Z187" s="587"/>
      <c r="AA187" s="587"/>
      <c r="AB187" s="587"/>
      <c r="AC187" s="587"/>
    </row>
    <row r="188" spans="9:29" x14ac:dyDescent="0.2">
      <c r="I188" s="587"/>
      <c r="J188" s="587"/>
      <c r="K188" s="584">
        <v>106.3</v>
      </c>
      <c r="L188" s="584">
        <v>3600</v>
      </c>
      <c r="M188" s="584">
        <v>3600</v>
      </c>
      <c r="N188" s="584">
        <v>3600</v>
      </c>
      <c r="O188" s="584">
        <v>4200</v>
      </c>
      <c r="P188" s="584">
        <v>4200</v>
      </c>
      <c r="Q188" s="584">
        <v>4200</v>
      </c>
      <c r="R188" s="584">
        <f t="shared" si="16"/>
        <v>23400</v>
      </c>
      <c r="S188" s="599">
        <f t="shared" si="19"/>
        <v>220.13170272812795</v>
      </c>
      <c r="T188" s="587"/>
      <c r="U188" s="585"/>
      <c r="V188" s="587"/>
      <c r="W188" s="587"/>
      <c r="X188" s="587"/>
      <c r="Y188" s="587"/>
      <c r="Z188" s="587"/>
      <c r="AA188" s="587"/>
      <c r="AB188" s="587"/>
      <c r="AC188" s="587"/>
    </row>
    <row r="189" spans="9:29" x14ac:dyDescent="0.2">
      <c r="I189" s="587"/>
      <c r="J189" s="587"/>
      <c r="K189" s="584">
        <v>106.4</v>
      </c>
      <c r="L189" s="584">
        <v>3600</v>
      </c>
      <c r="M189" s="584">
        <v>3600</v>
      </c>
      <c r="N189" s="584">
        <v>4200</v>
      </c>
      <c r="O189" s="584">
        <v>4200</v>
      </c>
      <c r="P189" s="584">
        <v>4200</v>
      </c>
      <c r="Q189" s="584">
        <v>4200</v>
      </c>
      <c r="R189" s="584">
        <f t="shared" si="16"/>
        <v>24000</v>
      </c>
      <c r="S189" s="599">
        <f t="shared" si="19"/>
        <v>225.56390977443607</v>
      </c>
      <c r="T189" s="587"/>
      <c r="U189" s="585"/>
      <c r="V189" s="587"/>
      <c r="W189" s="587"/>
      <c r="X189" s="587"/>
      <c r="Y189" s="587"/>
      <c r="Z189" s="587"/>
      <c r="AA189" s="587"/>
      <c r="AB189" s="587"/>
      <c r="AC189" s="587"/>
    </row>
    <row r="190" spans="9:29" x14ac:dyDescent="0.2">
      <c r="I190" s="587"/>
      <c r="J190" s="587"/>
      <c r="K190" s="584">
        <v>109</v>
      </c>
      <c r="L190" s="584">
        <v>3600</v>
      </c>
      <c r="M190" s="584">
        <v>3600</v>
      </c>
      <c r="N190" s="584">
        <v>4200</v>
      </c>
      <c r="O190" s="584">
        <v>4200</v>
      </c>
      <c r="P190" s="584">
        <v>4200</v>
      </c>
      <c r="Q190" s="584">
        <v>4200</v>
      </c>
      <c r="R190" s="584">
        <f t="shared" si="16"/>
        <v>24000</v>
      </c>
      <c r="S190" s="599">
        <f t="shared" si="19"/>
        <v>220.18348623853211</v>
      </c>
      <c r="T190" s="587"/>
      <c r="U190" s="585"/>
      <c r="V190" s="587"/>
      <c r="W190" s="587"/>
      <c r="X190" s="587"/>
      <c r="Y190" s="587"/>
      <c r="Z190" s="587"/>
      <c r="AA190" s="587"/>
      <c r="AB190" s="587"/>
      <c r="AC190" s="587"/>
    </row>
    <row r="191" spans="9:29" x14ac:dyDescent="0.2">
      <c r="I191" s="587"/>
      <c r="J191" s="587"/>
      <c r="K191" s="584">
        <v>109.1</v>
      </c>
      <c r="L191" s="584">
        <v>3600</v>
      </c>
      <c r="M191" s="584">
        <v>4200</v>
      </c>
      <c r="N191" s="584">
        <v>4200</v>
      </c>
      <c r="O191" s="584">
        <v>4200</v>
      </c>
      <c r="P191" s="584">
        <v>4200</v>
      </c>
      <c r="Q191" s="584">
        <v>4200</v>
      </c>
      <c r="R191" s="584">
        <f t="shared" si="16"/>
        <v>24600</v>
      </c>
      <c r="S191" s="599">
        <f t="shared" si="19"/>
        <v>225.48120989917507</v>
      </c>
      <c r="T191" s="587"/>
      <c r="U191" s="585"/>
      <c r="V191" s="587"/>
      <c r="W191" s="587"/>
      <c r="X191" s="587"/>
      <c r="Y191" s="587"/>
      <c r="Z191" s="587"/>
      <c r="AA191" s="587"/>
      <c r="AB191" s="587"/>
      <c r="AC191" s="587"/>
    </row>
    <row r="192" spans="9:29" x14ac:dyDescent="0.2">
      <c r="I192" s="587"/>
      <c r="J192" s="587"/>
      <c r="K192" s="584">
        <v>111.8</v>
      </c>
      <c r="L192" s="584">
        <v>3600</v>
      </c>
      <c r="M192" s="584">
        <v>4200</v>
      </c>
      <c r="N192" s="584">
        <v>4200</v>
      </c>
      <c r="O192" s="584">
        <v>4200</v>
      </c>
      <c r="P192" s="584">
        <v>4200</v>
      </c>
      <c r="Q192" s="584">
        <v>4200</v>
      </c>
      <c r="R192" s="584">
        <f t="shared" si="16"/>
        <v>24600</v>
      </c>
      <c r="S192" s="599">
        <f>R192/K192</f>
        <v>220.03577817531306</v>
      </c>
      <c r="T192" s="587"/>
      <c r="U192" s="585"/>
      <c r="V192" s="587"/>
      <c r="W192" s="587"/>
      <c r="X192" s="587"/>
      <c r="Y192" s="587"/>
      <c r="Z192" s="587"/>
      <c r="AA192" s="587"/>
      <c r="AB192" s="587"/>
      <c r="AC192" s="587"/>
    </row>
    <row r="193" spans="9:29" x14ac:dyDescent="0.2">
      <c r="I193" s="587"/>
      <c r="J193" s="587"/>
      <c r="K193" s="584">
        <v>111.9</v>
      </c>
      <c r="L193" s="584">
        <v>4200</v>
      </c>
      <c r="M193" s="584">
        <v>4200</v>
      </c>
      <c r="N193" s="584">
        <v>4200</v>
      </c>
      <c r="O193" s="584">
        <v>4200</v>
      </c>
      <c r="P193" s="584">
        <v>4200</v>
      </c>
      <c r="Q193" s="584">
        <v>4200</v>
      </c>
      <c r="R193" s="584">
        <f t="shared" si="16"/>
        <v>25200</v>
      </c>
      <c r="S193" s="599">
        <f>R193/K193</f>
        <v>225.20107238605897</v>
      </c>
      <c r="T193" s="587"/>
      <c r="U193" s="585"/>
      <c r="V193" s="587"/>
      <c r="W193" s="587"/>
      <c r="X193" s="587"/>
      <c r="Y193" s="587"/>
      <c r="Z193" s="587"/>
      <c r="AA193" s="587"/>
      <c r="AB193" s="587"/>
      <c r="AC193" s="587"/>
    </row>
    <row r="194" spans="9:29" x14ac:dyDescent="0.2">
      <c r="I194" s="587"/>
      <c r="J194" s="587"/>
      <c r="K194" s="584">
        <v>114.5</v>
      </c>
      <c r="L194" s="584">
        <v>4200</v>
      </c>
      <c r="M194" s="584">
        <v>4200</v>
      </c>
      <c r="N194" s="584">
        <v>4200</v>
      </c>
      <c r="O194" s="584">
        <v>4200</v>
      </c>
      <c r="P194" s="584">
        <v>4200</v>
      </c>
      <c r="Q194" s="584">
        <v>4200</v>
      </c>
      <c r="R194" s="584">
        <f t="shared" si="16"/>
        <v>25200</v>
      </c>
      <c r="S194" s="599">
        <f>R194/K194</f>
        <v>220.08733624454149</v>
      </c>
      <c r="T194" s="587"/>
      <c r="U194" s="585"/>
      <c r="V194" s="587"/>
      <c r="W194" s="587"/>
      <c r="X194" s="587"/>
      <c r="Y194" s="587"/>
      <c r="Z194" s="587"/>
      <c r="AA194" s="587"/>
      <c r="AB194" s="587"/>
      <c r="AC194" s="587"/>
    </row>
    <row r="195" spans="9:29" x14ac:dyDescent="0.2">
      <c r="I195" s="587"/>
      <c r="J195" s="587"/>
      <c r="K195" s="587"/>
      <c r="L195" s="587"/>
      <c r="M195" s="587"/>
      <c r="N195" s="587"/>
      <c r="O195" s="587"/>
      <c r="P195" s="587"/>
      <c r="Q195" s="587"/>
      <c r="R195" s="587"/>
      <c r="S195" s="587"/>
      <c r="T195" s="587"/>
      <c r="U195" s="585"/>
      <c r="V195" s="587"/>
      <c r="W195" s="587"/>
      <c r="X195" s="587"/>
      <c r="Y195" s="587"/>
      <c r="Z195" s="587"/>
      <c r="AA195" s="587"/>
      <c r="AB195" s="587"/>
      <c r="AC195" s="587"/>
    </row>
    <row r="196" spans="9:29" x14ac:dyDescent="0.2">
      <c r="I196" s="587"/>
      <c r="J196" s="587"/>
      <c r="K196" s="587"/>
      <c r="L196" s="587"/>
      <c r="M196" s="587"/>
      <c r="N196" s="587"/>
      <c r="O196" s="587"/>
      <c r="P196" s="587"/>
      <c r="Q196" s="587"/>
      <c r="R196" s="587"/>
      <c r="S196" s="587"/>
      <c r="T196" s="587"/>
      <c r="U196" s="585"/>
      <c r="V196" s="587"/>
      <c r="W196" s="587"/>
      <c r="X196" s="587"/>
      <c r="Y196" s="587"/>
      <c r="Z196" s="587"/>
      <c r="AA196" s="587"/>
      <c r="AB196" s="587"/>
      <c r="AC196" s="587"/>
    </row>
    <row r="197" spans="9:29" x14ac:dyDescent="0.2">
      <c r="I197" s="587"/>
      <c r="J197" s="587"/>
      <c r="K197" s="587"/>
      <c r="L197" s="587"/>
      <c r="M197" s="587"/>
      <c r="N197" s="587"/>
      <c r="O197" s="587"/>
      <c r="P197" s="587"/>
      <c r="Q197" s="587"/>
      <c r="R197" s="587"/>
      <c r="S197" s="587"/>
      <c r="T197" s="587"/>
      <c r="U197" s="585"/>
      <c r="V197" s="587"/>
      <c r="W197" s="587"/>
      <c r="X197" s="587"/>
      <c r="Y197" s="587"/>
      <c r="Z197" s="587"/>
      <c r="AA197" s="587"/>
      <c r="AB197" s="587"/>
      <c r="AC197" s="587"/>
    </row>
    <row r="198" spans="9:29" x14ac:dyDescent="0.2">
      <c r="I198" s="587"/>
      <c r="J198" s="587"/>
      <c r="K198" s="587"/>
      <c r="L198" s="587"/>
      <c r="M198" s="587"/>
      <c r="N198" s="587"/>
      <c r="O198" s="587"/>
      <c r="P198" s="587"/>
      <c r="Q198" s="587"/>
      <c r="R198" s="587"/>
      <c r="S198" s="587"/>
      <c r="T198" s="587"/>
      <c r="U198" s="585"/>
      <c r="V198" s="587"/>
      <c r="W198" s="587"/>
      <c r="X198" s="587"/>
      <c r="Y198" s="587"/>
      <c r="Z198" s="587"/>
      <c r="AA198" s="587"/>
      <c r="AB198" s="587"/>
      <c r="AC198" s="587"/>
    </row>
    <row r="199" spans="9:29" x14ac:dyDescent="0.2">
      <c r="I199" s="587"/>
      <c r="J199" s="587"/>
      <c r="K199" s="587"/>
      <c r="L199" s="587"/>
      <c r="M199" s="587"/>
      <c r="N199" s="587"/>
      <c r="O199" s="587"/>
      <c r="P199" s="587"/>
      <c r="Q199" s="587"/>
      <c r="R199" s="587"/>
      <c r="S199" s="587"/>
      <c r="T199" s="587"/>
      <c r="U199" s="585"/>
      <c r="V199" s="587"/>
      <c r="W199" s="587"/>
      <c r="X199" s="587"/>
      <c r="Y199" s="587"/>
      <c r="Z199" s="587"/>
      <c r="AA199" s="587"/>
      <c r="AB199" s="587"/>
      <c r="AC199" s="587"/>
    </row>
    <row r="200" spans="9:29" x14ac:dyDescent="0.2">
      <c r="I200" s="587"/>
      <c r="J200" s="587"/>
      <c r="K200" s="587"/>
      <c r="L200" s="587"/>
      <c r="M200" s="587"/>
      <c r="N200" s="587"/>
      <c r="O200" s="587"/>
      <c r="P200" s="587"/>
      <c r="Q200" s="587"/>
      <c r="R200" s="587"/>
      <c r="S200" s="587"/>
      <c r="T200" s="587"/>
      <c r="U200" s="585"/>
      <c r="V200" s="587"/>
      <c r="W200" s="587"/>
      <c r="X200" s="587"/>
      <c r="Y200" s="587"/>
      <c r="Z200" s="587"/>
      <c r="AA200" s="587"/>
      <c r="AB200" s="587"/>
      <c r="AC200" s="587"/>
    </row>
    <row r="201" spans="9:29" x14ac:dyDescent="0.2">
      <c r="I201" s="587"/>
      <c r="J201" s="587"/>
      <c r="K201" s="587"/>
      <c r="L201" s="587"/>
      <c r="M201" s="587"/>
      <c r="N201" s="587"/>
      <c r="O201" s="587"/>
      <c r="P201" s="587"/>
      <c r="Q201" s="587"/>
      <c r="R201" s="587"/>
      <c r="S201" s="587"/>
      <c r="T201" s="587"/>
      <c r="U201" s="585"/>
      <c r="V201" s="587"/>
      <c r="W201" s="587"/>
      <c r="X201" s="587"/>
      <c r="Y201" s="587"/>
      <c r="Z201" s="587"/>
      <c r="AA201" s="587"/>
      <c r="AB201" s="587"/>
      <c r="AC201" s="587"/>
    </row>
    <row r="202" spans="9:29" x14ac:dyDescent="0.2">
      <c r="I202" s="587"/>
      <c r="J202" s="587"/>
      <c r="K202" s="587"/>
      <c r="L202" s="587"/>
      <c r="M202" s="587"/>
      <c r="N202" s="587"/>
      <c r="O202" s="587"/>
      <c r="P202" s="587"/>
      <c r="Q202" s="587"/>
      <c r="R202" s="587"/>
      <c r="S202" s="587"/>
      <c r="T202" s="587"/>
      <c r="U202" s="585"/>
      <c r="V202" s="587"/>
      <c r="W202" s="587"/>
      <c r="X202" s="587"/>
      <c r="Y202" s="587"/>
      <c r="Z202" s="587"/>
      <c r="AA202" s="587"/>
      <c r="AB202" s="587"/>
      <c r="AC202" s="587"/>
    </row>
    <row r="203" spans="9:29" x14ac:dyDescent="0.2">
      <c r="I203" s="585"/>
      <c r="J203" s="585"/>
      <c r="K203" s="585"/>
      <c r="L203" s="585"/>
      <c r="M203" s="585"/>
      <c r="N203" s="585"/>
      <c r="O203" s="585"/>
      <c r="P203" s="585"/>
      <c r="Q203" s="585"/>
      <c r="R203" s="585"/>
      <c r="S203" s="585"/>
      <c r="T203" s="585"/>
      <c r="U203" s="585"/>
      <c r="V203" s="587"/>
      <c r="W203" s="587"/>
      <c r="X203" s="587"/>
      <c r="Y203" s="587"/>
      <c r="Z203" s="587"/>
      <c r="AA203" s="587"/>
      <c r="AB203" s="587"/>
      <c r="AC203" s="587"/>
    </row>
    <row r="204" spans="9:29" x14ac:dyDescent="0.2">
      <c r="I204" s="585"/>
      <c r="J204" s="585"/>
      <c r="K204" s="585"/>
      <c r="L204" s="585"/>
      <c r="M204" s="585"/>
      <c r="N204" s="585"/>
      <c r="O204" s="585"/>
      <c r="P204" s="585"/>
      <c r="Q204" s="585"/>
      <c r="R204" s="585"/>
      <c r="S204" s="585"/>
      <c r="T204" s="585"/>
      <c r="U204" s="585"/>
      <c r="V204" s="587"/>
      <c r="W204" s="587"/>
      <c r="X204" s="587"/>
      <c r="Y204" s="587"/>
      <c r="Z204" s="587"/>
      <c r="AA204" s="587"/>
      <c r="AB204" s="587"/>
      <c r="AC204" s="587"/>
    </row>
    <row r="205" spans="9:29" x14ac:dyDescent="0.2">
      <c r="I205" s="585"/>
      <c r="J205" s="585"/>
      <c r="K205" s="585"/>
      <c r="L205" s="585"/>
      <c r="M205" s="585"/>
      <c r="N205" s="585"/>
      <c r="O205" s="585"/>
      <c r="P205" s="585"/>
      <c r="Q205" s="585"/>
      <c r="R205" s="585"/>
      <c r="S205" s="585"/>
      <c r="T205" s="585"/>
      <c r="U205" s="585"/>
      <c r="V205" s="587"/>
      <c r="W205" s="587"/>
      <c r="X205" s="587"/>
      <c r="Y205" s="587"/>
      <c r="Z205" s="587"/>
      <c r="AA205" s="587"/>
      <c r="AB205" s="587"/>
      <c r="AC205" s="587"/>
    </row>
    <row r="206" spans="9:29" x14ac:dyDescent="0.2">
      <c r="I206" s="585"/>
      <c r="J206" s="585"/>
      <c r="K206" s="585"/>
      <c r="L206" s="585"/>
      <c r="M206" s="585"/>
      <c r="N206" s="585"/>
      <c r="O206" s="585"/>
      <c r="P206" s="585"/>
      <c r="Q206" s="585"/>
      <c r="R206" s="585"/>
      <c r="S206" s="585"/>
      <c r="T206" s="585"/>
      <c r="U206" s="585"/>
      <c r="V206" s="587"/>
      <c r="W206" s="587"/>
      <c r="X206" s="587"/>
      <c r="Y206" s="587"/>
      <c r="Z206" s="587"/>
      <c r="AA206" s="587"/>
      <c r="AB206" s="587"/>
      <c r="AC206" s="587"/>
    </row>
    <row r="207" spans="9:29" x14ac:dyDescent="0.2">
      <c r="I207" s="585"/>
      <c r="J207" s="585"/>
      <c r="K207" s="585"/>
      <c r="L207" s="585"/>
      <c r="M207" s="585"/>
      <c r="N207" s="585"/>
      <c r="O207" s="585"/>
      <c r="P207" s="585"/>
      <c r="Q207" s="585"/>
      <c r="R207" s="585"/>
      <c r="S207" s="585"/>
      <c r="T207" s="585"/>
      <c r="U207" s="585"/>
      <c r="V207" s="587"/>
      <c r="W207" s="587"/>
      <c r="X207" s="587"/>
      <c r="Y207" s="587"/>
      <c r="Z207" s="587"/>
      <c r="AA207" s="587"/>
      <c r="AB207" s="587"/>
      <c r="AC207" s="587"/>
    </row>
    <row r="208" spans="9:29" x14ac:dyDescent="0.2">
      <c r="I208" s="585"/>
      <c r="J208" s="585"/>
      <c r="K208" s="585"/>
      <c r="L208" s="585"/>
      <c r="M208" s="585"/>
      <c r="N208" s="585"/>
      <c r="O208" s="585"/>
      <c r="P208" s="585"/>
      <c r="Q208" s="585"/>
      <c r="R208" s="585"/>
      <c r="S208" s="585"/>
      <c r="T208" s="585"/>
      <c r="U208" s="585"/>
      <c r="V208" s="587"/>
      <c r="W208" s="587"/>
      <c r="X208" s="587"/>
      <c r="Y208" s="587"/>
      <c r="Z208" s="587"/>
      <c r="AA208" s="587"/>
      <c r="AB208" s="587"/>
      <c r="AC208" s="587"/>
    </row>
    <row r="209" spans="9:29" x14ac:dyDescent="0.2">
      <c r="I209" s="585"/>
      <c r="J209" s="585"/>
      <c r="K209" s="585"/>
      <c r="L209" s="585"/>
      <c r="M209" s="585"/>
      <c r="N209" s="585"/>
      <c r="O209" s="585"/>
      <c r="P209" s="585"/>
      <c r="Q209" s="585"/>
      <c r="R209" s="585"/>
      <c r="S209" s="585"/>
      <c r="T209" s="585"/>
      <c r="U209" s="585"/>
      <c r="V209" s="587"/>
      <c r="W209" s="587"/>
      <c r="X209" s="587"/>
      <c r="Y209" s="587"/>
      <c r="Z209" s="587"/>
      <c r="AA209" s="587"/>
      <c r="AB209" s="587"/>
      <c r="AC209" s="587"/>
    </row>
    <row r="210" spans="9:29" x14ac:dyDescent="0.2">
      <c r="I210" s="585"/>
      <c r="J210" s="585"/>
      <c r="K210" s="585"/>
      <c r="L210" s="585"/>
      <c r="M210" s="585"/>
      <c r="N210" s="585"/>
      <c r="O210" s="585"/>
      <c r="P210" s="585"/>
      <c r="Q210" s="585"/>
      <c r="R210" s="585"/>
      <c r="S210" s="585"/>
      <c r="T210" s="585"/>
      <c r="U210" s="585"/>
      <c r="V210" s="587"/>
      <c r="W210" s="587"/>
      <c r="X210" s="587"/>
      <c r="Y210" s="587"/>
      <c r="Z210" s="587"/>
      <c r="AA210" s="587"/>
      <c r="AB210" s="587"/>
      <c r="AC210" s="587"/>
    </row>
    <row r="211" spans="9:29" x14ac:dyDescent="0.2">
      <c r="I211" s="585"/>
      <c r="J211" s="585"/>
      <c r="K211" s="585"/>
      <c r="L211" s="585"/>
      <c r="M211" s="585"/>
      <c r="N211" s="585"/>
      <c r="O211" s="585"/>
      <c r="P211" s="585"/>
      <c r="Q211" s="585"/>
      <c r="R211" s="585"/>
      <c r="S211" s="585"/>
      <c r="T211" s="585"/>
      <c r="U211" s="585"/>
      <c r="V211" s="587"/>
      <c r="W211" s="587"/>
      <c r="X211" s="587"/>
      <c r="Y211" s="587"/>
      <c r="Z211" s="587"/>
      <c r="AA211" s="587"/>
      <c r="AB211" s="587"/>
      <c r="AC211" s="587"/>
    </row>
    <row r="212" spans="9:29" x14ac:dyDescent="0.2">
      <c r="I212" s="585"/>
      <c r="J212" s="585"/>
      <c r="K212" s="585"/>
      <c r="L212" s="585"/>
      <c r="M212" s="585"/>
      <c r="N212" s="585"/>
      <c r="O212" s="585"/>
      <c r="P212" s="585"/>
      <c r="Q212" s="585"/>
      <c r="R212" s="585"/>
      <c r="S212" s="585"/>
      <c r="T212" s="585"/>
      <c r="U212" s="585"/>
      <c r="V212" s="587"/>
      <c r="W212" s="587"/>
      <c r="X212" s="587"/>
      <c r="Y212" s="587"/>
      <c r="Z212" s="587"/>
      <c r="AA212" s="587"/>
      <c r="AB212" s="587"/>
      <c r="AC212" s="587"/>
    </row>
    <row r="213" spans="9:29" x14ac:dyDescent="0.2">
      <c r="I213" s="585"/>
      <c r="J213" s="585"/>
      <c r="K213" s="585"/>
      <c r="L213" s="585"/>
      <c r="M213" s="585"/>
      <c r="N213" s="585"/>
      <c r="O213" s="585"/>
      <c r="P213" s="585"/>
      <c r="Q213" s="585"/>
      <c r="R213" s="585"/>
      <c r="S213" s="585"/>
      <c r="T213" s="585"/>
      <c r="U213" s="585"/>
      <c r="V213" s="587"/>
      <c r="W213" s="587"/>
      <c r="X213" s="587"/>
      <c r="Y213" s="587"/>
      <c r="Z213" s="587"/>
      <c r="AA213" s="587"/>
      <c r="AB213" s="587"/>
      <c r="AC213" s="587"/>
    </row>
    <row r="214" spans="9:29" x14ac:dyDescent="0.2">
      <c r="I214" s="585"/>
      <c r="J214" s="585"/>
      <c r="K214" s="585"/>
      <c r="L214" s="585"/>
      <c r="M214" s="585"/>
      <c r="N214" s="585"/>
      <c r="O214" s="585"/>
      <c r="P214" s="585"/>
      <c r="Q214" s="585"/>
      <c r="R214" s="585"/>
      <c r="S214" s="585"/>
      <c r="T214" s="585"/>
      <c r="U214" s="585"/>
      <c r="V214" s="587"/>
      <c r="W214" s="587"/>
      <c r="X214" s="587"/>
      <c r="Y214" s="587"/>
      <c r="Z214" s="587"/>
      <c r="AA214" s="587"/>
      <c r="AB214" s="587"/>
      <c r="AC214" s="587"/>
    </row>
    <row r="215" spans="9:29" x14ac:dyDescent="0.2">
      <c r="I215" s="585"/>
      <c r="J215" s="585"/>
      <c r="K215" s="585"/>
      <c r="L215" s="585"/>
      <c r="M215" s="585"/>
      <c r="N215" s="585"/>
      <c r="O215" s="585"/>
      <c r="P215" s="585"/>
      <c r="Q215" s="585"/>
      <c r="R215" s="585"/>
      <c r="S215" s="585"/>
      <c r="T215" s="585"/>
      <c r="U215" s="585"/>
      <c r="V215" s="587"/>
      <c r="W215" s="587"/>
      <c r="X215" s="587"/>
      <c r="Y215" s="587"/>
      <c r="Z215" s="587"/>
      <c r="AA215" s="587"/>
      <c r="AB215" s="587"/>
      <c r="AC215" s="587"/>
    </row>
    <row r="216" spans="9:29" x14ac:dyDescent="0.2">
      <c r="I216" s="585"/>
      <c r="J216" s="585"/>
      <c r="K216" s="585"/>
      <c r="L216" s="585"/>
      <c r="M216" s="585"/>
      <c r="N216" s="585"/>
      <c r="O216" s="585"/>
      <c r="P216" s="585"/>
      <c r="Q216" s="585"/>
      <c r="R216" s="585"/>
      <c r="S216" s="585"/>
      <c r="T216" s="585"/>
      <c r="U216" s="585"/>
      <c r="V216" s="587"/>
      <c r="W216" s="587"/>
      <c r="X216" s="587"/>
      <c r="Y216" s="587"/>
      <c r="Z216" s="587"/>
      <c r="AA216" s="587"/>
      <c r="AB216" s="587"/>
      <c r="AC216" s="587"/>
    </row>
    <row r="217" spans="9:29" x14ac:dyDescent="0.2">
      <c r="I217" s="585"/>
      <c r="J217" s="585"/>
      <c r="K217" s="585"/>
      <c r="L217" s="585"/>
      <c r="M217" s="585"/>
      <c r="N217" s="585"/>
      <c r="O217" s="585"/>
      <c r="P217" s="585"/>
      <c r="Q217" s="585"/>
      <c r="R217" s="585"/>
      <c r="S217" s="585"/>
      <c r="T217" s="585"/>
      <c r="U217" s="585"/>
      <c r="V217" s="587"/>
      <c r="W217" s="587"/>
      <c r="X217" s="587"/>
      <c r="Y217" s="587"/>
      <c r="Z217" s="587"/>
      <c r="AA217" s="587"/>
      <c r="AB217" s="587"/>
      <c r="AC217" s="587"/>
    </row>
    <row r="218" spans="9:29" x14ac:dyDescent="0.2">
      <c r="I218" s="585"/>
      <c r="J218" s="585"/>
      <c r="K218" s="585"/>
      <c r="L218" s="585"/>
      <c r="M218" s="585"/>
      <c r="N218" s="585"/>
      <c r="O218" s="585"/>
      <c r="P218" s="585"/>
      <c r="Q218" s="585"/>
      <c r="R218" s="585"/>
      <c r="S218" s="585"/>
      <c r="T218" s="585"/>
      <c r="U218" s="585"/>
      <c r="V218" s="587"/>
      <c r="W218" s="587"/>
      <c r="X218" s="587"/>
      <c r="Y218" s="587"/>
      <c r="Z218" s="587"/>
      <c r="AA218" s="587"/>
      <c r="AB218" s="587"/>
      <c r="AC218" s="587"/>
    </row>
    <row r="219" spans="9:29" x14ac:dyDescent="0.2">
      <c r="I219" s="585"/>
      <c r="J219" s="585"/>
      <c r="K219" s="585"/>
      <c r="L219" s="585"/>
      <c r="M219" s="585"/>
      <c r="N219" s="585"/>
      <c r="O219" s="585"/>
      <c r="P219" s="585"/>
      <c r="Q219" s="585"/>
      <c r="R219" s="585"/>
      <c r="S219" s="585"/>
      <c r="T219" s="585"/>
      <c r="U219" s="585"/>
      <c r="V219" s="587"/>
      <c r="W219" s="587"/>
      <c r="X219" s="587"/>
      <c r="Y219" s="587"/>
      <c r="Z219" s="587"/>
      <c r="AA219" s="587"/>
      <c r="AB219" s="587"/>
      <c r="AC219" s="587"/>
    </row>
    <row r="220" spans="9:29" x14ac:dyDescent="0.2">
      <c r="I220" s="585"/>
      <c r="J220" s="585"/>
      <c r="K220" s="585"/>
      <c r="L220" s="585"/>
      <c r="M220" s="585"/>
      <c r="N220" s="585"/>
      <c r="O220" s="585"/>
      <c r="P220" s="585"/>
      <c r="Q220" s="585"/>
      <c r="R220" s="585"/>
      <c r="S220" s="585"/>
      <c r="T220" s="585"/>
      <c r="U220" s="585"/>
      <c r="V220" s="587"/>
      <c r="W220" s="587"/>
      <c r="X220" s="587"/>
      <c r="Y220" s="587"/>
      <c r="Z220" s="587"/>
      <c r="AA220" s="587"/>
      <c r="AB220" s="587"/>
      <c r="AC220" s="587"/>
    </row>
    <row r="221" spans="9:29" x14ac:dyDescent="0.2">
      <c r="I221" s="585"/>
      <c r="J221" s="585"/>
      <c r="K221" s="585"/>
      <c r="L221" s="585"/>
      <c r="M221" s="585"/>
      <c r="N221" s="585"/>
      <c r="O221" s="585"/>
      <c r="P221" s="585"/>
      <c r="Q221" s="585"/>
      <c r="R221" s="585"/>
      <c r="S221" s="585"/>
      <c r="T221" s="585"/>
      <c r="U221" s="585"/>
      <c r="V221" s="587"/>
      <c r="W221" s="587"/>
      <c r="X221" s="587"/>
      <c r="Y221" s="587"/>
      <c r="Z221" s="587"/>
      <c r="AA221" s="587"/>
      <c r="AB221" s="587"/>
      <c r="AC221" s="587"/>
    </row>
    <row r="222" spans="9:29" x14ac:dyDescent="0.2">
      <c r="I222" s="585"/>
      <c r="J222" s="585"/>
      <c r="K222" s="585"/>
      <c r="L222" s="585"/>
      <c r="M222" s="585"/>
      <c r="N222" s="585"/>
      <c r="O222" s="585"/>
      <c r="P222" s="585"/>
      <c r="Q222" s="585"/>
      <c r="R222" s="585"/>
      <c r="S222" s="585"/>
      <c r="T222" s="585"/>
      <c r="U222" s="585"/>
      <c r="V222" s="587"/>
      <c r="W222" s="587"/>
      <c r="X222" s="587"/>
      <c r="Y222" s="587"/>
      <c r="Z222" s="587"/>
      <c r="AA222" s="587"/>
      <c r="AB222" s="587"/>
      <c r="AC222" s="587"/>
    </row>
    <row r="223" spans="9:29" x14ac:dyDescent="0.2">
      <c r="I223" s="585"/>
      <c r="J223" s="585"/>
      <c r="K223" s="585"/>
      <c r="L223" s="585"/>
      <c r="M223" s="585"/>
      <c r="N223" s="585"/>
      <c r="O223" s="585"/>
      <c r="P223" s="585"/>
      <c r="Q223" s="585"/>
      <c r="R223" s="585"/>
      <c r="S223" s="585"/>
      <c r="T223" s="585"/>
      <c r="U223" s="585"/>
      <c r="V223" s="587"/>
      <c r="W223" s="587"/>
      <c r="X223" s="587"/>
      <c r="Y223" s="587"/>
      <c r="Z223" s="587"/>
      <c r="AA223" s="587"/>
      <c r="AB223" s="587"/>
      <c r="AC223" s="587"/>
    </row>
    <row r="224" spans="9:29" x14ac:dyDescent="0.2">
      <c r="I224" s="585"/>
      <c r="J224" s="585"/>
      <c r="K224" s="585"/>
      <c r="L224" s="585"/>
      <c r="M224" s="585"/>
      <c r="N224" s="585"/>
      <c r="O224" s="585"/>
      <c r="P224" s="585"/>
      <c r="Q224" s="585"/>
      <c r="R224" s="585"/>
      <c r="S224" s="585"/>
      <c r="T224" s="585"/>
      <c r="U224" s="585"/>
      <c r="V224" s="587"/>
      <c r="W224" s="587"/>
      <c r="X224" s="587"/>
      <c r="Y224" s="587"/>
      <c r="Z224" s="587"/>
      <c r="AA224" s="587"/>
      <c r="AB224" s="587"/>
      <c r="AC224" s="587"/>
    </row>
    <row r="225" spans="9:29" x14ac:dyDescent="0.2">
      <c r="I225" s="585"/>
      <c r="J225" s="585"/>
      <c r="K225" s="585"/>
      <c r="L225" s="585"/>
      <c r="M225" s="585"/>
      <c r="N225" s="585"/>
      <c r="O225" s="585"/>
      <c r="P225" s="585"/>
      <c r="Q225" s="585"/>
      <c r="R225" s="585"/>
      <c r="S225" s="585"/>
      <c r="T225" s="585"/>
      <c r="U225" s="585"/>
      <c r="V225" s="587"/>
      <c r="W225" s="587"/>
      <c r="X225" s="587"/>
      <c r="Y225" s="587"/>
      <c r="Z225" s="587"/>
      <c r="AA225" s="587"/>
      <c r="AB225" s="587"/>
      <c r="AC225" s="587"/>
    </row>
    <row r="226" spans="9:29" x14ac:dyDescent="0.2">
      <c r="I226" s="585"/>
      <c r="J226" s="585"/>
      <c r="K226" s="585"/>
      <c r="L226" s="585"/>
      <c r="M226" s="585"/>
      <c r="N226" s="585"/>
      <c r="O226" s="585"/>
      <c r="P226" s="585"/>
      <c r="Q226" s="585"/>
      <c r="R226" s="585"/>
      <c r="S226" s="585"/>
      <c r="T226" s="585"/>
      <c r="U226" s="585"/>
      <c r="V226" s="587"/>
      <c r="W226" s="587"/>
      <c r="X226" s="587"/>
      <c r="Y226" s="587"/>
      <c r="Z226" s="587"/>
      <c r="AA226" s="587"/>
      <c r="AB226" s="587"/>
      <c r="AC226" s="587"/>
    </row>
    <row r="227" spans="9:29" x14ac:dyDescent="0.2">
      <c r="I227" s="585"/>
      <c r="J227" s="585"/>
      <c r="K227" s="585"/>
      <c r="L227" s="585"/>
      <c r="M227" s="585"/>
      <c r="N227" s="585"/>
      <c r="O227" s="585"/>
      <c r="P227" s="585"/>
      <c r="Q227" s="585"/>
      <c r="R227" s="585"/>
      <c r="S227" s="585"/>
      <c r="T227" s="585"/>
      <c r="U227" s="585"/>
      <c r="V227" s="587"/>
      <c r="W227" s="587"/>
      <c r="X227" s="587"/>
      <c r="Y227" s="587"/>
      <c r="Z227" s="587"/>
      <c r="AA227" s="587"/>
      <c r="AB227" s="587"/>
      <c r="AC227" s="587"/>
    </row>
    <row r="228" spans="9:29" x14ac:dyDescent="0.2">
      <c r="I228" s="587"/>
      <c r="J228" s="587"/>
      <c r="K228" s="587"/>
      <c r="L228" s="587"/>
      <c r="M228" s="587"/>
      <c r="N228" s="587"/>
      <c r="O228" s="587"/>
      <c r="P228" s="587"/>
      <c r="Q228" s="587"/>
      <c r="R228" s="587"/>
      <c r="S228" s="587"/>
      <c r="T228" s="587"/>
      <c r="U228" s="587"/>
      <c r="V228" s="587"/>
      <c r="W228" s="587"/>
      <c r="X228" s="587"/>
      <c r="Y228" s="587"/>
      <c r="Z228" s="587"/>
      <c r="AA228" s="587"/>
      <c r="AB228" s="587"/>
      <c r="AC228" s="587"/>
    </row>
  </sheetData>
  <autoFilter ref="H19:H49" xr:uid="{00000000-0001-0000-0000-000000000000}"/>
  <mergeCells count="43">
    <mergeCell ref="B63:C63"/>
    <mergeCell ref="A82:G82"/>
    <mergeCell ref="A87:G87"/>
    <mergeCell ref="A88:G88"/>
    <mergeCell ref="A85:G85"/>
    <mergeCell ref="A83:G83"/>
    <mergeCell ref="A84:G84"/>
    <mergeCell ref="A86:G86"/>
    <mergeCell ref="A75:G75"/>
    <mergeCell ref="A76:G76"/>
    <mergeCell ref="A77:G77"/>
    <mergeCell ref="A78:G78"/>
    <mergeCell ref="A79:G79"/>
    <mergeCell ref="A20:F20"/>
    <mergeCell ref="A71:G71"/>
    <mergeCell ref="A72:G72"/>
    <mergeCell ref="A73:G73"/>
    <mergeCell ref="A74:G74"/>
    <mergeCell ref="A68:G68"/>
    <mergeCell ref="A47:F47"/>
    <mergeCell ref="B48:F48"/>
    <mergeCell ref="A51:G51"/>
    <mergeCell ref="A52:G52"/>
    <mergeCell ref="A53:C53"/>
    <mergeCell ref="A56:G56"/>
    <mergeCell ref="A57:G57"/>
    <mergeCell ref="A58:G58"/>
    <mergeCell ref="A59:G59"/>
    <mergeCell ref="B62:C62"/>
    <mergeCell ref="C1:G1"/>
    <mergeCell ref="A10:F10"/>
    <mergeCell ref="A9:F9"/>
    <mergeCell ref="B18:B19"/>
    <mergeCell ref="C18:C19"/>
    <mergeCell ref="D18:D19"/>
    <mergeCell ref="E18:E19"/>
    <mergeCell ref="A5:C5"/>
    <mergeCell ref="A6:C6"/>
    <mergeCell ref="A7:C7"/>
    <mergeCell ref="A17:G17"/>
    <mergeCell ref="A2:C2"/>
    <mergeCell ref="A4:C4"/>
    <mergeCell ref="A12:B12"/>
  </mergeCells>
  <phoneticPr fontId="18" type="noConversion"/>
  <conditionalFormatting sqref="A12:B12 C13:D13">
    <cfRule type="expression" dxfId="53" priority="3">
      <formula>$D$13&lt;&gt;""</formula>
    </cfRule>
  </conditionalFormatting>
  <conditionalFormatting sqref="A12:B12">
    <cfRule type="expression" dxfId="52" priority="5">
      <formula>$D$11&lt;&gt;""</formula>
    </cfRule>
  </conditionalFormatting>
  <conditionalFormatting sqref="A12:D12">
    <cfRule type="expression" dxfId="51" priority="4">
      <formula>$D$12&lt;&gt;""</formula>
    </cfRule>
  </conditionalFormatting>
  <conditionalFormatting sqref="C11:D11">
    <cfRule type="expression" dxfId="50" priority="6">
      <formula>$D$11&lt;&gt;""</formula>
    </cfRule>
  </conditionalFormatting>
  <conditionalFormatting sqref="G10">
    <cfRule type="cellIs" dxfId="49" priority="1" operator="between">
      <formula>114.6</formula>
      <formula>400</formula>
    </cfRule>
    <cfRule type="cellIs" dxfId="48" priority="2" operator="between">
      <formula>1</formula>
      <formula>114.5</formula>
    </cfRule>
  </conditionalFormatting>
  <hyperlinks>
    <hyperlink ref="B65" r:id="rId1" xr:uid="{57AF9A63-0667-41D0-BD7A-2E12D413B431}"/>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A791-EC65-4399-9B66-2A7466A3E9B3}">
  <sheetPr codeName="Foaie3">
    <tabColor rgb="FFFF33CC"/>
  </sheetPr>
  <dimension ref="A1:R109"/>
  <sheetViews>
    <sheetView zoomScaleNormal="100" zoomScaleSheetLayoutView="100" workbookViewId="0">
      <selection activeCell="L3" sqref="L3"/>
    </sheetView>
  </sheetViews>
  <sheetFormatPr defaultColWidth="9.109375" defaultRowHeight="11.4" x14ac:dyDescent="0.2"/>
  <cols>
    <col min="1" max="1" width="6" style="5" customWidth="1"/>
    <col min="2" max="2" width="9.21875" style="5" customWidth="1"/>
    <col min="3" max="3" width="61.5546875" style="5" customWidth="1"/>
    <col min="4" max="4" width="8.33203125" style="5" customWidth="1"/>
    <col min="5" max="5" width="6.33203125" style="5" customWidth="1"/>
    <col min="6" max="6" width="10.109375" style="5" customWidth="1"/>
    <col min="7" max="7" width="10.6640625" style="5" customWidth="1"/>
    <col min="8" max="8" width="5.6640625" style="89" customWidth="1"/>
    <col min="9" max="10" width="9.77734375" style="5" customWidth="1"/>
    <col min="11" max="11" width="9.6640625" style="5" customWidth="1"/>
    <col min="12" max="12" width="8.33203125" style="5" customWidth="1"/>
    <col min="13" max="13" width="9.77734375" style="5" customWidth="1"/>
    <col min="14" max="14" width="10.77734375" style="5" customWidth="1"/>
    <col min="15" max="21" width="9.109375" style="5"/>
    <col min="22" max="22" width="9.6640625" style="5" bestFit="1" customWidth="1"/>
    <col min="23" max="16384" width="9.109375" style="5"/>
  </cols>
  <sheetData>
    <row r="1" spans="1:18" ht="130.5" customHeight="1" x14ac:dyDescent="0.2">
      <c r="C1" s="734" t="s">
        <v>449</v>
      </c>
      <c r="D1" s="734"/>
      <c r="E1" s="734"/>
      <c r="F1" s="734"/>
      <c r="G1" s="734"/>
      <c r="H1" s="80"/>
      <c r="I1" s="8"/>
      <c r="J1" s="8"/>
      <c r="K1" s="8"/>
    </row>
    <row r="2" spans="1:18" ht="14.4" x14ac:dyDescent="0.3">
      <c r="A2" s="739" t="s">
        <v>493</v>
      </c>
      <c r="B2" s="740"/>
      <c r="C2" s="740"/>
    </row>
    <row r="3" spans="1:18" x14ac:dyDescent="0.2">
      <c r="A3" s="2"/>
    </row>
    <row r="4" spans="1:18" ht="14.4" x14ac:dyDescent="0.3">
      <c r="A4" s="739" t="s">
        <v>77</v>
      </c>
      <c r="B4" s="740"/>
      <c r="C4" s="740"/>
    </row>
    <row r="5" spans="1:18" ht="14.4" x14ac:dyDescent="0.3">
      <c r="A5" s="739" t="s">
        <v>15</v>
      </c>
      <c r="B5" s="740"/>
      <c r="C5" s="740"/>
    </row>
    <row r="6" spans="1:18" ht="14.4" x14ac:dyDescent="0.3">
      <c r="A6" s="739" t="s">
        <v>13</v>
      </c>
      <c r="B6" s="740"/>
      <c r="C6" s="740"/>
    </row>
    <row r="7" spans="1:18" ht="14.4" x14ac:dyDescent="0.3">
      <c r="A7" s="739" t="s">
        <v>17</v>
      </c>
      <c r="B7" s="740"/>
      <c r="C7" s="740"/>
    </row>
    <row r="8" spans="1:18" ht="15" thickBot="1" x14ac:dyDescent="0.35">
      <c r="A8" s="2"/>
      <c r="B8"/>
      <c r="C8"/>
    </row>
    <row r="9" spans="1:18" ht="30" customHeight="1" thickTop="1" thickBot="1" x14ac:dyDescent="0.25">
      <c r="A9" s="735" t="s">
        <v>0</v>
      </c>
      <c r="B9" s="735"/>
      <c r="C9" s="735"/>
      <c r="D9" s="735"/>
      <c r="E9" s="735"/>
      <c r="F9" s="735"/>
      <c r="G9" s="56" t="s">
        <v>152</v>
      </c>
      <c r="H9" s="59"/>
      <c r="I9" s="3"/>
      <c r="J9" s="4"/>
      <c r="K9" s="4"/>
      <c r="L9" s="4"/>
      <c r="M9" s="4"/>
      <c r="N9" s="4"/>
      <c r="O9" s="4"/>
      <c r="P9" s="4"/>
      <c r="Q9" s="4"/>
      <c r="R9" s="4"/>
    </row>
    <row r="10" spans="1:18" ht="30" customHeight="1" thickTop="1" thickBot="1" x14ac:dyDescent="0.25">
      <c r="A10" s="735" t="s">
        <v>150</v>
      </c>
      <c r="B10" s="735"/>
      <c r="C10" s="735"/>
      <c r="D10" s="735"/>
      <c r="E10" s="735"/>
      <c r="F10" s="735"/>
      <c r="G10" s="634"/>
      <c r="H10" s="59"/>
      <c r="I10" s="3"/>
      <c r="J10" s="4"/>
      <c r="K10" s="4"/>
      <c r="L10" s="4"/>
      <c r="M10" s="4"/>
      <c r="N10" s="4"/>
      <c r="O10" s="4"/>
      <c r="P10" s="4"/>
      <c r="Q10" s="4"/>
      <c r="R10" s="4"/>
    </row>
    <row r="11" spans="1:18" ht="16.05" customHeight="1" thickTop="1" thickBot="1" x14ac:dyDescent="0.25">
      <c r="A11" s="53"/>
      <c r="B11" s="53"/>
      <c r="C11" s="680" t="s">
        <v>156</v>
      </c>
      <c r="D11" s="560"/>
      <c r="E11" s="53"/>
      <c r="F11" s="53"/>
      <c r="G11" s="73"/>
      <c r="H11" s="59"/>
      <c r="I11" s="3"/>
      <c r="J11" s="4"/>
      <c r="K11" s="4"/>
      <c r="L11" s="4"/>
      <c r="M11" s="4"/>
      <c r="N11" s="4"/>
      <c r="O11" s="4"/>
      <c r="P11" s="4"/>
      <c r="Q11" s="4"/>
      <c r="R11" s="4"/>
    </row>
    <row r="12" spans="1:18" ht="16.05" customHeight="1" thickTop="1" thickBot="1" x14ac:dyDescent="0.25">
      <c r="A12" s="796" t="s">
        <v>145</v>
      </c>
      <c r="B12" s="797"/>
      <c r="C12" s="680" t="s">
        <v>158</v>
      </c>
      <c r="D12" s="560"/>
      <c r="E12" s="53"/>
      <c r="F12" s="53"/>
      <c r="G12" s="73"/>
      <c r="H12" s="59"/>
      <c r="I12" s="3"/>
      <c r="J12" s="4"/>
      <c r="K12" s="4"/>
      <c r="L12" s="4"/>
      <c r="M12" s="4"/>
      <c r="N12" s="4"/>
      <c r="O12" s="4"/>
      <c r="P12" s="4"/>
      <c r="Q12" s="4"/>
      <c r="R12" s="4"/>
    </row>
    <row r="13" spans="1:18" ht="16.05" customHeight="1" thickTop="1" thickBot="1" x14ac:dyDescent="0.25">
      <c r="A13" s="53"/>
      <c r="B13" s="53"/>
      <c r="C13" s="680" t="s">
        <v>157</v>
      </c>
      <c r="D13" s="560"/>
      <c r="E13" s="53"/>
      <c r="F13" s="53"/>
      <c r="G13" s="73"/>
      <c r="H13" s="59"/>
      <c r="I13" s="3"/>
      <c r="J13" s="4"/>
      <c r="K13" s="4"/>
      <c r="L13" s="4"/>
      <c r="M13" s="4"/>
      <c r="N13" s="4"/>
      <c r="O13" s="4"/>
      <c r="P13" s="4"/>
      <c r="Q13" s="4"/>
      <c r="R13" s="4"/>
    </row>
    <row r="14" spans="1:18" ht="12" customHeight="1" thickTop="1" x14ac:dyDescent="0.2">
      <c r="A14" s="53"/>
      <c r="B14" s="53"/>
      <c r="C14" s="79"/>
      <c r="D14" s="78"/>
      <c r="E14" s="53"/>
      <c r="F14" s="53"/>
      <c r="G14" s="73"/>
      <c r="H14" s="59"/>
      <c r="I14" s="3"/>
      <c r="J14" s="4"/>
      <c r="K14" s="4"/>
      <c r="L14" s="4"/>
      <c r="M14" s="4"/>
      <c r="N14" s="4"/>
      <c r="O14" s="4"/>
      <c r="P14" s="4"/>
      <c r="Q14" s="4"/>
      <c r="R14" s="4"/>
    </row>
    <row r="15" spans="1:18" ht="40.5" customHeight="1" x14ac:dyDescent="0.2">
      <c r="A15" s="53"/>
      <c r="B15" s="53"/>
      <c r="C15" s="79"/>
      <c r="D15" s="78"/>
      <c r="E15" s="53"/>
      <c r="F15" s="53"/>
      <c r="G15" s="73"/>
      <c r="H15" s="59"/>
      <c r="I15" s="3"/>
      <c r="J15" s="4"/>
      <c r="K15" s="4"/>
      <c r="L15" s="4"/>
      <c r="M15" s="4"/>
      <c r="N15" s="4"/>
      <c r="O15" s="4"/>
      <c r="P15" s="4"/>
      <c r="Q15" s="4"/>
      <c r="R15" s="4"/>
    </row>
    <row r="16" spans="1:18" ht="41.25" customHeight="1" x14ac:dyDescent="0.2">
      <c r="A16" s="53"/>
      <c r="B16" s="53"/>
      <c r="C16" s="79"/>
      <c r="D16" s="78"/>
      <c r="E16" s="53"/>
      <c r="F16" s="53"/>
      <c r="G16" s="73"/>
      <c r="H16" s="59"/>
      <c r="I16" s="3"/>
      <c r="J16" s="4"/>
      <c r="K16" s="4"/>
      <c r="L16" s="4"/>
      <c r="M16" s="4"/>
      <c r="N16" s="4"/>
      <c r="O16" s="4"/>
      <c r="P16" s="4"/>
      <c r="Q16" s="4"/>
      <c r="R16" s="4"/>
    </row>
    <row r="17" spans="1:18" ht="20.25" customHeight="1" thickBot="1" x14ac:dyDescent="0.45">
      <c r="A17" s="741" t="s">
        <v>45</v>
      </c>
      <c r="B17" s="795"/>
      <c r="C17" s="795"/>
      <c r="D17" s="795"/>
      <c r="E17" s="795"/>
      <c r="F17" s="795"/>
      <c r="G17" s="795"/>
      <c r="H17" s="46"/>
      <c r="I17" s="4"/>
      <c r="J17" s="4"/>
      <c r="K17" s="4"/>
      <c r="L17" s="4"/>
      <c r="M17" s="4"/>
      <c r="N17" s="4"/>
      <c r="O17" s="4"/>
      <c r="P17" s="4"/>
      <c r="Q17" s="4"/>
      <c r="R17" s="4"/>
    </row>
    <row r="18" spans="1:18" ht="25.5" customHeight="1" thickTop="1" thickBot="1" x14ac:dyDescent="0.25">
      <c r="A18" s="26" t="s">
        <v>1</v>
      </c>
      <c r="B18" s="737" t="s">
        <v>3</v>
      </c>
      <c r="C18" s="737" t="s">
        <v>4</v>
      </c>
      <c r="D18" s="737" t="s">
        <v>5</v>
      </c>
      <c r="E18" s="737" t="s">
        <v>6</v>
      </c>
      <c r="F18" s="26" t="s">
        <v>7</v>
      </c>
      <c r="G18" s="26" t="s">
        <v>9</v>
      </c>
      <c r="H18" s="46"/>
      <c r="I18" s="4"/>
      <c r="J18" s="4"/>
      <c r="K18" s="4"/>
      <c r="L18" s="4"/>
      <c r="M18" s="4"/>
      <c r="N18" s="4"/>
      <c r="O18" s="4"/>
      <c r="P18" s="4"/>
      <c r="Q18" s="4"/>
      <c r="R18" s="4"/>
    </row>
    <row r="19" spans="1:18" ht="27.75" customHeight="1" thickTop="1" thickBot="1" x14ac:dyDescent="0.25">
      <c r="A19" s="26" t="s">
        <v>2</v>
      </c>
      <c r="B19" s="737"/>
      <c r="C19" s="737"/>
      <c r="D19" s="737"/>
      <c r="E19" s="737"/>
      <c r="F19" s="26" t="s">
        <v>8</v>
      </c>
      <c r="G19" s="26" t="s">
        <v>8</v>
      </c>
      <c r="H19" s="46"/>
      <c r="I19" s="84" t="s">
        <v>139</v>
      </c>
      <c r="J19" s="4"/>
      <c r="K19" s="4"/>
      <c r="L19" s="4"/>
      <c r="M19" s="4"/>
      <c r="N19" s="4"/>
      <c r="O19" s="4"/>
      <c r="P19" s="4"/>
      <c r="Q19" s="4"/>
      <c r="R19" s="4"/>
    </row>
    <row r="20" spans="1:18" ht="16.05" customHeight="1" thickTop="1" thickBot="1" x14ac:dyDescent="0.25">
      <c r="A20" s="798" t="s">
        <v>437</v>
      </c>
      <c r="B20" s="783"/>
      <c r="C20" s="783"/>
      <c r="D20" s="783"/>
      <c r="E20" s="783"/>
      <c r="F20" s="783"/>
      <c r="G20" s="13"/>
      <c r="H20" s="46">
        <f>SUM(H21:H24)</f>
        <v>0</v>
      </c>
      <c r="I20" s="85" t="s">
        <v>140</v>
      </c>
      <c r="J20" s="4"/>
      <c r="K20" s="4"/>
      <c r="L20" s="4"/>
      <c r="M20" s="27"/>
      <c r="N20" s="4"/>
      <c r="O20" s="4"/>
      <c r="P20" s="4"/>
      <c r="Q20" s="4"/>
      <c r="R20" s="4"/>
    </row>
    <row r="21" spans="1:18" ht="16.05" customHeight="1" thickTop="1" thickBot="1" x14ac:dyDescent="0.25">
      <c r="A21" s="16"/>
      <c r="B21" s="17">
        <v>125006</v>
      </c>
      <c r="C21" s="18" t="s">
        <v>26</v>
      </c>
      <c r="D21" s="19" t="s">
        <v>10</v>
      </c>
      <c r="E21" s="19">
        <f>IF(OR(AND(G10&gt;=2, G10&lt;=3), AND(G10&gt;=6, G10&lt;=9), AND(G10&gt;=12.1, G10&lt;=12.5)), 1, 0)</f>
        <v>0</v>
      </c>
      <c r="F21" s="632">
        <v>73</v>
      </c>
      <c r="G21" s="20">
        <f>E21*F21</f>
        <v>0</v>
      </c>
      <c r="H21" s="46">
        <f>E21</f>
        <v>0</v>
      </c>
      <c r="I21" s="85">
        <f>E21*600</f>
        <v>0</v>
      </c>
      <c r="J21" s="4"/>
      <c r="K21" s="4"/>
      <c r="L21" s="4"/>
      <c r="M21" s="27"/>
      <c r="N21" s="4"/>
      <c r="O21" s="4"/>
      <c r="P21" s="4"/>
      <c r="Q21" s="4"/>
      <c r="R21" s="4"/>
    </row>
    <row r="22" spans="1:18" ht="16.05" customHeight="1" thickTop="1" thickBot="1" x14ac:dyDescent="0.25">
      <c r="A22" s="16"/>
      <c r="B22" s="17">
        <v>125012</v>
      </c>
      <c r="C22" s="18" t="s">
        <v>29</v>
      </c>
      <c r="D22" s="19" t="s">
        <v>10</v>
      </c>
      <c r="E22" s="16">
        <f>IF(OR(AND(G10&gt;=6, G10&lt;=9), AND(G10&gt;=12.6, G10&lt;=15.5),AND(G10&gt;=21.6,G10&lt;=25),AND(G10&gt;=28.6,G10&lt;=32.5),AND(G10&gt;=50.1,G10&lt;=53.5),AND(G10&gt;=57.1,G10&lt;=61)), 1, IF(OR(AND(G10&gt;=9.7, G10&lt;=12), AND(G10&gt;=18.1, G10&lt;=21.5)), 2, IF(OR(AND(G10&gt;=17.1, G10&lt;=18),AND(G10&gt;=43.6,G10&lt;=46.5)), 3, 0)))</f>
        <v>0</v>
      </c>
      <c r="F22" s="632">
        <v>124</v>
      </c>
      <c r="G22" s="20">
        <f>E22*F22</f>
        <v>0</v>
      </c>
      <c r="H22" s="46">
        <f>E22</f>
        <v>0</v>
      </c>
      <c r="I22" s="85">
        <f>E22*600</f>
        <v>0</v>
      </c>
      <c r="J22" s="4"/>
      <c r="K22" s="4"/>
      <c r="L22" s="4"/>
      <c r="M22" s="27"/>
      <c r="N22" s="4"/>
      <c r="O22" s="4"/>
      <c r="P22" s="4"/>
      <c r="Q22" s="4"/>
      <c r="R22" s="4"/>
    </row>
    <row r="23" spans="1:18" ht="16.05" customHeight="1" thickTop="1" thickBot="1" x14ac:dyDescent="0.25">
      <c r="A23" s="16"/>
      <c r="B23" s="17">
        <v>125019</v>
      </c>
      <c r="C23" s="18" t="s">
        <v>72</v>
      </c>
      <c r="D23" s="19" t="s">
        <v>10</v>
      </c>
      <c r="E23" s="16">
        <f>IF(OR(AND(G10&gt;=9.1,G10&lt;=9.5),AND(G10&gt;=12.1,G10&lt;=12.5),AND(G10&gt;=12.6,G10&lt;=15.5),AND(G10&gt;=18.1,G10&lt;=21.5),AND(G10&gt;=28.6,G10&lt;=32.5),AND(G10&gt;=36.1,G10&lt;=43.5),AND(G10&gt;=87.1,G10&lt;=94.5)),1,IF(OR(AND(G10&gt;=21.6,G10&lt;=25),AND(G10&gt;=32.6,G10&lt;=36),AND(G10&gt;=79.6,G10&lt;=87)),2,IF(OR(AND(G10&gt;=25.1,G10&lt;=28.5),AND(G10&gt;=43.6,G10&lt;=46.5),AND(G10&gt;=72.1,G10&lt;=79.5)),3,IF(OR(AND(G10&gt;=57.1,G10&lt;=61),AND(G10&gt;=64.6,G10&lt;=72)),4,IF(OR(AND(G10&gt;=50.1,G10&lt;=53.5),AND(G10&gt;=61.1,G10&lt;=64.5)),5,IF(OR(AND(G10&gt;=53.6,G10&lt;=57)),6,0))))))</f>
        <v>0</v>
      </c>
      <c r="F23" s="632">
        <v>198</v>
      </c>
      <c r="G23" s="20">
        <f>E23*F23</f>
        <v>0</v>
      </c>
      <c r="H23" s="46">
        <f>E23</f>
        <v>0</v>
      </c>
      <c r="I23" s="85">
        <f>E23*600</f>
        <v>0</v>
      </c>
      <c r="J23" s="4"/>
      <c r="K23" s="4"/>
      <c r="L23" s="4"/>
      <c r="M23" s="27"/>
      <c r="N23" s="4"/>
      <c r="O23" s="4"/>
      <c r="P23" s="4"/>
      <c r="Q23" s="4"/>
      <c r="R23" s="4"/>
    </row>
    <row r="24" spans="1:18" ht="16.05" customHeight="1" thickTop="1" thickBot="1" x14ac:dyDescent="0.25">
      <c r="A24" s="16"/>
      <c r="B24" s="17">
        <v>125034</v>
      </c>
      <c r="C24" s="18" t="s">
        <v>73</v>
      </c>
      <c r="D24" s="19" t="s">
        <v>10</v>
      </c>
      <c r="E24" s="17">
        <f>IF(OR(AND(G10&gt;=15.6,G10&lt;=17),AND(G10&gt;=28.6,G10&lt;=32.5),AND(G10&gt;=32.6,G10&lt;=36),AND(G10&gt;=57.1,G10&lt;=61),AND(G10&gt;=61.1,G10&lt;=64.5)),1,IF(OR(AND(G10&gt;=36.1,G10&lt;=43.5),AND(G10&gt;=64.6,G10&lt;=72)),2,IF(OR(AND(G10&gt;=46.6,G10&lt;=50),AND(G10&gt;=72.1,G10&lt;=79.5)),3,IF(OR(AND(G10&gt;=79.6,G10&lt;=87)),4,IF(OR(AND(G10&gt;=87.1,G10&lt;=94.5)),5,IF(OR(AND(G10&gt;=94.6,G10&lt;=102)),6,0))))))</f>
        <v>0</v>
      </c>
      <c r="F24" s="632">
        <v>304</v>
      </c>
      <c r="G24" s="20">
        <f>E24*F24</f>
        <v>0</v>
      </c>
      <c r="H24" s="46">
        <f>E24</f>
        <v>0</v>
      </c>
      <c r="I24" s="85">
        <f>E24*600</f>
        <v>0</v>
      </c>
      <c r="J24" s="4"/>
      <c r="K24" s="4"/>
      <c r="L24" s="4"/>
      <c r="M24" s="27"/>
      <c r="N24" s="4"/>
      <c r="O24" s="4"/>
      <c r="P24" s="4"/>
      <c r="Q24" s="4"/>
      <c r="R24" s="4"/>
    </row>
    <row r="25" spans="1:18" ht="16.05" customHeight="1" thickTop="1" thickBot="1" x14ac:dyDescent="0.25">
      <c r="A25" s="54" t="s">
        <v>40</v>
      </c>
      <c r="B25" s="55"/>
      <c r="C25" s="55"/>
      <c r="D25" s="55"/>
      <c r="E25" s="55"/>
      <c r="F25" s="55"/>
      <c r="G25" s="12"/>
      <c r="H25" s="46">
        <f>SUM(H26:H36)</f>
        <v>0</v>
      </c>
      <c r="I25" s="4"/>
      <c r="J25" s="4"/>
      <c r="K25" s="4"/>
      <c r="L25" s="4"/>
      <c r="M25" s="4"/>
      <c r="N25" s="4" t="s">
        <v>14</v>
      </c>
      <c r="O25" s="4"/>
      <c r="P25" s="4"/>
      <c r="Q25" s="4"/>
      <c r="R25" s="4"/>
    </row>
    <row r="26" spans="1:18" ht="16.05" customHeight="1" thickTop="1" thickBot="1" x14ac:dyDescent="0.25">
      <c r="A26" s="16"/>
      <c r="B26" s="21" t="s">
        <v>37</v>
      </c>
      <c r="C26" s="22" t="s">
        <v>425</v>
      </c>
      <c r="D26" s="16" t="s">
        <v>10</v>
      </c>
      <c r="E26" s="16">
        <f>IF(D13="x", 1, 0)</f>
        <v>0</v>
      </c>
      <c r="F26" s="633">
        <v>242</v>
      </c>
      <c r="G26" s="20">
        <f t="shared" ref="G26:G36" si="0">E26*F26</f>
        <v>0</v>
      </c>
      <c r="H26" s="46">
        <f>E26</f>
        <v>0</v>
      </c>
      <c r="J26" s="4"/>
      <c r="N26" s="59"/>
    </row>
    <row r="27" spans="1:18" ht="16.05" customHeight="1" thickTop="1" thickBot="1" x14ac:dyDescent="0.25">
      <c r="A27" s="16"/>
      <c r="B27" s="21" t="s">
        <v>38</v>
      </c>
      <c r="C27" s="22" t="s">
        <v>292</v>
      </c>
      <c r="D27" s="16" t="s">
        <v>10</v>
      </c>
      <c r="E27" s="16">
        <f>IF(D12="x", 1, 0)</f>
        <v>0</v>
      </c>
      <c r="F27" s="633">
        <v>125</v>
      </c>
      <c r="G27" s="20">
        <f t="shared" si="0"/>
        <v>0</v>
      </c>
      <c r="H27" s="46">
        <f t="shared" ref="H27:H36" si="1">E27</f>
        <v>0</v>
      </c>
      <c r="J27" s="4"/>
      <c r="N27" s="59"/>
    </row>
    <row r="28" spans="1:18" ht="16.05" customHeight="1" thickTop="1" thickBot="1" x14ac:dyDescent="0.25">
      <c r="A28" s="16"/>
      <c r="B28" s="21" t="s">
        <v>39</v>
      </c>
      <c r="C28" s="22" t="s">
        <v>426</v>
      </c>
      <c r="D28" s="16" t="s">
        <v>10</v>
      </c>
      <c r="E28" s="16">
        <f>IF(D12="x", 1, IF(D13="x", 2, 0))</f>
        <v>0</v>
      </c>
      <c r="F28" s="633">
        <v>191</v>
      </c>
      <c r="G28" s="20">
        <f t="shared" si="0"/>
        <v>0</v>
      </c>
      <c r="H28" s="46">
        <f t="shared" si="1"/>
        <v>0</v>
      </c>
      <c r="J28" s="4"/>
      <c r="N28" s="59"/>
    </row>
    <row r="29" spans="1:18" ht="25.95" customHeight="1" thickTop="1" thickBot="1" x14ac:dyDescent="0.25">
      <c r="A29" s="16"/>
      <c r="B29" s="21" t="s">
        <v>432</v>
      </c>
      <c r="C29" s="22" t="s">
        <v>433</v>
      </c>
      <c r="D29" s="16" t="s">
        <v>10</v>
      </c>
      <c r="E29" s="16">
        <f>IF(D12="x", 1, 0)</f>
        <v>0</v>
      </c>
      <c r="F29" s="633">
        <v>243</v>
      </c>
      <c r="G29" s="20">
        <f t="shared" si="0"/>
        <v>0</v>
      </c>
      <c r="H29" s="59">
        <f t="shared" si="1"/>
        <v>0</v>
      </c>
      <c r="J29" s="4"/>
      <c r="M29" s="439"/>
      <c r="N29" s="59"/>
    </row>
    <row r="30" spans="1:18" ht="29.25" customHeight="1" thickTop="1" thickBot="1" x14ac:dyDescent="0.25">
      <c r="A30" s="16"/>
      <c r="B30" s="23">
        <v>892551</v>
      </c>
      <c r="C30" s="62" t="s">
        <v>193</v>
      </c>
      <c r="D30" s="24" t="s">
        <v>10</v>
      </c>
      <c r="E30" s="25">
        <f>IF(D11="x", 1, 0)</f>
        <v>0</v>
      </c>
      <c r="F30" s="633">
        <v>106</v>
      </c>
      <c r="G30" s="20">
        <f t="shared" si="0"/>
        <v>0</v>
      </c>
      <c r="H30" s="46">
        <f t="shared" si="1"/>
        <v>0</v>
      </c>
      <c r="J30" s="4"/>
    </row>
    <row r="31" spans="1:18" ht="16.05" customHeight="1" thickTop="1" thickBot="1" x14ac:dyDescent="0.25">
      <c r="A31" s="16"/>
      <c r="B31" s="72">
        <v>891551</v>
      </c>
      <c r="C31" s="18" t="s">
        <v>144</v>
      </c>
      <c r="D31" s="24" t="s">
        <v>10</v>
      </c>
      <c r="E31" s="71"/>
      <c r="F31" s="633">
        <v>91</v>
      </c>
      <c r="G31" s="20">
        <f t="shared" si="0"/>
        <v>0</v>
      </c>
      <c r="H31" s="46">
        <f t="shared" si="1"/>
        <v>0</v>
      </c>
      <c r="J31" s="4"/>
    </row>
    <row r="32" spans="1:18" ht="16.05" customHeight="1" thickTop="1" thickBot="1" x14ac:dyDescent="0.25">
      <c r="A32" s="16"/>
      <c r="B32" s="21">
        <v>860199</v>
      </c>
      <c r="C32" s="570" t="s">
        <v>164</v>
      </c>
      <c r="D32" s="24" t="s">
        <v>10</v>
      </c>
      <c r="E32" s="71"/>
      <c r="F32" s="633">
        <v>13</v>
      </c>
      <c r="G32" s="20">
        <f t="shared" si="0"/>
        <v>0</v>
      </c>
      <c r="H32" s="46">
        <f t="shared" si="1"/>
        <v>0</v>
      </c>
      <c r="J32" s="4"/>
    </row>
    <row r="33" spans="1:10" ht="16.05" customHeight="1" thickTop="1" thickBot="1" x14ac:dyDescent="0.25">
      <c r="A33" s="16"/>
      <c r="B33" s="21">
        <v>890065</v>
      </c>
      <c r="C33" s="22" t="s">
        <v>80</v>
      </c>
      <c r="D33" s="16" t="s">
        <v>10</v>
      </c>
      <c r="E33" s="16"/>
      <c r="F33" s="633">
        <v>261</v>
      </c>
      <c r="G33" s="20">
        <f t="shared" si="0"/>
        <v>0</v>
      </c>
      <c r="H33" s="46">
        <f t="shared" si="1"/>
        <v>0</v>
      </c>
      <c r="J33" s="4"/>
    </row>
    <row r="34" spans="1:10" ht="16.05" customHeight="1" thickTop="1" thickBot="1" x14ac:dyDescent="0.25">
      <c r="A34" s="16"/>
      <c r="B34" s="72">
        <v>900056</v>
      </c>
      <c r="C34" s="18" t="s">
        <v>427</v>
      </c>
      <c r="D34" s="16" t="s">
        <v>10</v>
      </c>
      <c r="E34" s="16"/>
      <c r="F34" s="633">
        <v>221</v>
      </c>
      <c r="G34" s="20">
        <f t="shared" si="0"/>
        <v>0</v>
      </c>
      <c r="H34" s="46">
        <f t="shared" si="1"/>
        <v>0</v>
      </c>
      <c r="J34" s="4"/>
    </row>
    <row r="35" spans="1:10" ht="16.05" customHeight="1" thickTop="1" thickBot="1" x14ac:dyDescent="0.25">
      <c r="A35" s="16"/>
      <c r="B35" s="21">
        <v>893550</v>
      </c>
      <c r="C35" s="18" t="s">
        <v>436</v>
      </c>
      <c r="D35" s="16" t="s">
        <v>10</v>
      </c>
      <c r="E35" s="16"/>
      <c r="F35" s="633">
        <v>324</v>
      </c>
      <c r="G35" s="20">
        <f t="shared" si="0"/>
        <v>0</v>
      </c>
      <c r="H35" s="46">
        <f t="shared" si="1"/>
        <v>0</v>
      </c>
      <c r="J35" s="4"/>
    </row>
    <row r="36" spans="1:10" ht="16.05" customHeight="1" thickTop="1" thickBot="1" x14ac:dyDescent="0.25">
      <c r="A36" s="16"/>
      <c r="B36" s="23">
        <v>720310</v>
      </c>
      <c r="C36" s="65" t="s">
        <v>429</v>
      </c>
      <c r="D36" s="24" t="s">
        <v>10</v>
      </c>
      <c r="E36" s="25">
        <f>(ROUNDUP(G10*1.5/10,0))</f>
        <v>0</v>
      </c>
      <c r="F36" s="633">
        <v>17</v>
      </c>
      <c r="G36" s="20">
        <f t="shared" si="0"/>
        <v>0</v>
      </c>
      <c r="H36" s="46">
        <f t="shared" si="1"/>
        <v>0</v>
      </c>
      <c r="J36" s="4"/>
    </row>
    <row r="37" spans="1:10" ht="16.05" customHeight="1" thickTop="1" thickBot="1" x14ac:dyDescent="0.25">
      <c r="A37" s="805" t="s">
        <v>18</v>
      </c>
      <c r="B37" s="806"/>
      <c r="C37" s="806"/>
      <c r="D37" s="806"/>
      <c r="E37" s="806"/>
      <c r="F37" s="810"/>
      <c r="G37" s="28">
        <f>SUM(G21:G36)</f>
        <v>0</v>
      </c>
    </row>
    <row r="38" spans="1:10" ht="16.05" customHeight="1" thickTop="1" thickBot="1" x14ac:dyDescent="0.25">
      <c r="A38" s="47">
        <v>0</v>
      </c>
      <c r="B38" s="744" t="s">
        <v>70</v>
      </c>
      <c r="C38" s="807"/>
      <c r="D38" s="807"/>
      <c r="E38" s="807"/>
      <c r="F38" s="807"/>
      <c r="G38" s="77">
        <f>G37*(1-A38)</f>
        <v>0</v>
      </c>
    </row>
    <row r="39" spans="1:10" ht="16.05" customHeight="1" thickTop="1" thickBot="1" x14ac:dyDescent="0.25">
      <c r="A39" s="30" t="s">
        <v>19</v>
      </c>
      <c r="B39" s="31"/>
      <c r="C39" s="31"/>
      <c r="D39" s="31"/>
      <c r="E39" s="31"/>
      <c r="F39" s="31"/>
      <c r="G39" s="77">
        <f>G38*1.21</f>
        <v>0</v>
      </c>
    </row>
    <row r="40" spans="1:10" ht="16.05" customHeight="1" thickTop="1" x14ac:dyDescent="0.2"/>
    <row r="41" spans="1:10" ht="34.5" customHeight="1" x14ac:dyDescent="0.2">
      <c r="A41" s="732" t="s">
        <v>20</v>
      </c>
      <c r="B41" s="763"/>
      <c r="C41" s="763"/>
      <c r="D41" s="763"/>
      <c r="E41" s="763"/>
      <c r="F41" s="763"/>
      <c r="G41" s="763"/>
    </row>
    <row r="42" spans="1:10" ht="28.5" customHeight="1" x14ac:dyDescent="0.3">
      <c r="A42" s="733" t="s">
        <v>141</v>
      </c>
      <c r="B42" s="748"/>
      <c r="C42" s="748"/>
      <c r="D42" s="748"/>
      <c r="E42" s="748"/>
      <c r="F42" s="748"/>
      <c r="G42" s="748"/>
    </row>
    <row r="43" spans="1:10" ht="16.5" customHeight="1" x14ac:dyDescent="0.3">
      <c r="A43" s="733" t="s">
        <v>462</v>
      </c>
      <c r="B43" s="748"/>
      <c r="C43" s="748"/>
      <c r="D43" s="70">
        <f>SUM(I21:I24)/1000</f>
        <v>0</v>
      </c>
      <c r="E43" s="67"/>
      <c r="F43" s="67"/>
      <c r="G43" s="67"/>
    </row>
    <row r="44" spans="1:10" ht="7.5" customHeight="1" x14ac:dyDescent="0.2"/>
    <row r="45" spans="1:10" ht="16.05" customHeight="1" x14ac:dyDescent="0.2">
      <c r="A45" s="2" t="s">
        <v>21</v>
      </c>
      <c r="B45" s="3"/>
      <c r="C45" s="3"/>
      <c r="D45" s="3"/>
      <c r="E45" s="3"/>
      <c r="F45" s="3"/>
      <c r="G45" s="3"/>
    </row>
    <row r="46" spans="1:10" ht="16.05" customHeight="1" x14ac:dyDescent="0.2">
      <c r="A46" s="732" t="s">
        <v>142</v>
      </c>
      <c r="B46" s="763"/>
      <c r="C46" s="763"/>
      <c r="D46" s="763"/>
      <c r="E46" s="763"/>
      <c r="F46" s="763"/>
      <c r="G46" s="763"/>
    </row>
    <row r="47" spans="1:10" ht="16.05" customHeight="1" x14ac:dyDescent="0.3">
      <c r="A47" s="732" t="s">
        <v>22</v>
      </c>
      <c r="B47" s="740"/>
      <c r="C47" s="740"/>
      <c r="D47" s="740"/>
      <c r="E47" s="740"/>
      <c r="F47" s="740"/>
      <c r="G47" s="740"/>
    </row>
    <row r="48" spans="1:10" ht="14.4" x14ac:dyDescent="0.2">
      <c r="A48" s="732" t="s">
        <v>23</v>
      </c>
      <c r="B48" s="763"/>
      <c r="C48" s="763"/>
      <c r="D48" s="763"/>
      <c r="E48" s="763"/>
      <c r="F48" s="763"/>
      <c r="G48" s="763"/>
    </row>
    <row r="49" spans="1:18" ht="14.4" x14ac:dyDescent="0.3">
      <c r="A49" s="732"/>
      <c r="B49" s="740"/>
      <c r="C49" s="740"/>
      <c r="D49" s="740"/>
      <c r="E49" s="740"/>
      <c r="F49" s="740"/>
      <c r="G49" s="740"/>
    </row>
    <row r="50" spans="1:18" ht="14.4" x14ac:dyDescent="0.3">
      <c r="A50" s="66"/>
      <c r="B50"/>
      <c r="C50"/>
      <c r="D50"/>
      <c r="E50"/>
      <c r="F50"/>
      <c r="G50"/>
    </row>
    <row r="51" spans="1:18" ht="14.4" x14ac:dyDescent="0.3">
      <c r="B51" s="1" t="s">
        <v>11</v>
      </c>
      <c r="C51" s="2"/>
      <c r="D51"/>
      <c r="E51"/>
      <c r="F51"/>
      <c r="G51"/>
    </row>
    <row r="52" spans="1:18" ht="12.75" customHeight="1" x14ac:dyDescent="0.3">
      <c r="B52" s="749"/>
      <c r="C52" s="750"/>
      <c r="D52"/>
      <c r="E52"/>
      <c r="F52"/>
      <c r="G52"/>
    </row>
    <row r="53" spans="1:18" ht="14.4" x14ac:dyDescent="0.3">
      <c r="B53" s="749"/>
      <c r="C53" s="750"/>
      <c r="D53"/>
      <c r="E53"/>
      <c r="F53"/>
      <c r="G53"/>
    </row>
    <row r="54" spans="1:18" ht="14.4" x14ac:dyDescent="0.3">
      <c r="B54" s="76"/>
      <c r="D54"/>
      <c r="E54"/>
      <c r="F54"/>
      <c r="G54"/>
      <c r="I54" s="587"/>
      <c r="J54" s="587"/>
      <c r="K54" s="587"/>
      <c r="L54" s="587"/>
      <c r="M54" s="587"/>
      <c r="N54" s="587"/>
      <c r="O54" s="587"/>
      <c r="P54" s="587"/>
      <c r="Q54" s="587"/>
      <c r="R54" s="587"/>
    </row>
    <row r="55" spans="1:18" ht="14.4" x14ac:dyDescent="0.3">
      <c r="B55" s="76" t="s">
        <v>12</v>
      </c>
      <c r="D55"/>
      <c r="E55"/>
      <c r="F55"/>
      <c r="G55"/>
      <c r="I55" s="587"/>
      <c r="J55" s="587"/>
      <c r="K55" s="587"/>
      <c r="L55" s="587"/>
      <c r="M55" s="587"/>
      <c r="N55" s="587"/>
      <c r="O55" s="587"/>
      <c r="P55" s="587"/>
      <c r="Q55" s="587"/>
      <c r="R55" s="587"/>
    </row>
    <row r="56" spans="1:18" ht="79.8" x14ac:dyDescent="0.2">
      <c r="I56" s="586" t="s">
        <v>123</v>
      </c>
      <c r="J56" s="586" t="s">
        <v>133</v>
      </c>
      <c r="K56" s="586" t="s">
        <v>146</v>
      </c>
      <c r="L56" s="586" t="s">
        <v>147</v>
      </c>
      <c r="M56" s="586" t="s">
        <v>148</v>
      </c>
      <c r="N56" s="586" t="s">
        <v>149</v>
      </c>
      <c r="O56" s="586" t="s">
        <v>159</v>
      </c>
      <c r="P56" s="586" t="s">
        <v>134</v>
      </c>
      <c r="Q56" s="584" t="s">
        <v>124</v>
      </c>
      <c r="R56" s="587"/>
    </row>
    <row r="57" spans="1:18" x14ac:dyDescent="0.2">
      <c r="I57" s="586">
        <v>2</v>
      </c>
      <c r="J57" s="586">
        <v>600</v>
      </c>
      <c r="K57" s="586"/>
      <c r="L57" s="586"/>
      <c r="M57" s="586"/>
      <c r="N57" s="586"/>
      <c r="O57" s="586"/>
      <c r="P57" s="584">
        <f t="shared" ref="P57:P108" si="2">J57+K57+L57+M57+N57+O57</f>
        <v>600</v>
      </c>
      <c r="Q57" s="601">
        <f t="shared" ref="Q57:Q108" si="3">P57/I57</f>
        <v>300</v>
      </c>
      <c r="R57" s="600"/>
    </row>
    <row r="58" spans="1:18" x14ac:dyDescent="0.2">
      <c r="I58" s="586">
        <v>3</v>
      </c>
      <c r="J58" s="586">
        <v>600</v>
      </c>
      <c r="K58" s="586"/>
      <c r="L58" s="586"/>
      <c r="M58" s="586"/>
      <c r="N58" s="586"/>
      <c r="O58" s="586"/>
      <c r="P58" s="584">
        <f t="shared" si="2"/>
        <v>600</v>
      </c>
      <c r="Q58" s="601">
        <f t="shared" si="3"/>
        <v>200</v>
      </c>
      <c r="R58" s="600"/>
    </row>
    <row r="59" spans="1:18" x14ac:dyDescent="0.2">
      <c r="I59" s="586">
        <v>4</v>
      </c>
      <c r="J59" s="586">
        <v>1200</v>
      </c>
      <c r="K59" s="586"/>
      <c r="L59" s="586"/>
      <c r="M59" s="586"/>
      <c r="N59" s="586"/>
      <c r="O59" s="586"/>
      <c r="P59" s="584">
        <f t="shared" si="2"/>
        <v>1200</v>
      </c>
      <c r="Q59" s="601">
        <f t="shared" si="3"/>
        <v>300</v>
      </c>
      <c r="R59" s="600"/>
    </row>
    <row r="60" spans="1:18" x14ac:dyDescent="0.2">
      <c r="I60" s="586">
        <v>5.9</v>
      </c>
      <c r="J60" s="586">
        <v>1200</v>
      </c>
      <c r="K60" s="586"/>
      <c r="L60" s="586"/>
      <c r="M60" s="586"/>
      <c r="N60" s="586"/>
      <c r="O60" s="586"/>
      <c r="P60" s="584">
        <f t="shared" si="2"/>
        <v>1200</v>
      </c>
      <c r="Q60" s="601">
        <f t="shared" si="3"/>
        <v>203.38983050847457</v>
      </c>
      <c r="R60" s="600"/>
    </row>
    <row r="61" spans="1:18" x14ac:dyDescent="0.2">
      <c r="I61" s="586">
        <v>6</v>
      </c>
      <c r="J61" s="586">
        <v>600</v>
      </c>
      <c r="K61" s="586">
        <v>1200</v>
      </c>
      <c r="L61" s="586"/>
      <c r="M61" s="586"/>
      <c r="N61" s="586"/>
      <c r="O61" s="586"/>
      <c r="P61" s="584">
        <f t="shared" si="2"/>
        <v>1800</v>
      </c>
      <c r="Q61" s="601">
        <f t="shared" si="3"/>
        <v>300</v>
      </c>
      <c r="R61" s="587"/>
    </row>
    <row r="62" spans="1:18" x14ac:dyDescent="0.2">
      <c r="I62" s="586">
        <v>9</v>
      </c>
      <c r="J62" s="586">
        <v>600</v>
      </c>
      <c r="K62" s="586">
        <v>1200</v>
      </c>
      <c r="L62" s="586"/>
      <c r="M62" s="586"/>
      <c r="N62" s="586"/>
      <c r="O62" s="586"/>
      <c r="P62" s="584">
        <f t="shared" si="2"/>
        <v>1800</v>
      </c>
      <c r="Q62" s="601">
        <f t="shared" si="3"/>
        <v>200</v>
      </c>
      <c r="R62" s="587"/>
    </row>
    <row r="63" spans="1:18" x14ac:dyDescent="0.2">
      <c r="I63" s="586">
        <v>9.1</v>
      </c>
      <c r="J63" s="586">
        <v>1900</v>
      </c>
      <c r="K63" s="586"/>
      <c r="L63" s="586"/>
      <c r="M63" s="586"/>
      <c r="N63" s="586"/>
      <c r="O63" s="586"/>
      <c r="P63" s="584">
        <f t="shared" si="2"/>
        <v>1900</v>
      </c>
      <c r="Q63" s="601">
        <f t="shared" si="3"/>
        <v>208.79120879120879</v>
      </c>
      <c r="R63" s="587"/>
    </row>
    <row r="64" spans="1:18" x14ac:dyDescent="0.2">
      <c r="I64" s="586">
        <v>9.5</v>
      </c>
      <c r="J64" s="586">
        <v>1900</v>
      </c>
      <c r="K64" s="586"/>
      <c r="L64" s="586"/>
      <c r="M64" s="586"/>
      <c r="N64" s="586"/>
      <c r="O64" s="586"/>
      <c r="P64" s="584">
        <f t="shared" si="2"/>
        <v>1900</v>
      </c>
      <c r="Q64" s="601">
        <f t="shared" si="3"/>
        <v>200</v>
      </c>
      <c r="R64" s="587"/>
    </row>
    <row r="65" spans="9:18" x14ac:dyDescent="0.2">
      <c r="I65" s="586">
        <v>9.6999999999999993</v>
      </c>
      <c r="J65" s="586">
        <v>1200</v>
      </c>
      <c r="K65" s="586">
        <v>1200</v>
      </c>
      <c r="L65" s="586"/>
      <c r="M65" s="586"/>
      <c r="N65" s="586"/>
      <c r="O65" s="586"/>
      <c r="P65" s="584">
        <f t="shared" si="2"/>
        <v>2400</v>
      </c>
      <c r="Q65" s="601">
        <f t="shared" si="3"/>
        <v>247.42268041237116</v>
      </c>
      <c r="R65" s="587"/>
    </row>
    <row r="66" spans="9:18" x14ac:dyDescent="0.2">
      <c r="I66" s="586">
        <v>12</v>
      </c>
      <c r="J66" s="586">
        <v>1200</v>
      </c>
      <c r="K66" s="586">
        <v>1200</v>
      </c>
      <c r="L66" s="586"/>
      <c r="M66" s="586"/>
      <c r="N66" s="586"/>
      <c r="O66" s="586"/>
      <c r="P66" s="584">
        <f t="shared" si="2"/>
        <v>2400</v>
      </c>
      <c r="Q66" s="601">
        <f t="shared" si="3"/>
        <v>200</v>
      </c>
      <c r="R66" s="587"/>
    </row>
    <row r="67" spans="9:18" x14ac:dyDescent="0.2">
      <c r="I67" s="586">
        <v>12.1</v>
      </c>
      <c r="J67" s="586">
        <v>1900</v>
      </c>
      <c r="K67" s="586">
        <v>600</v>
      </c>
      <c r="L67" s="586"/>
      <c r="M67" s="586"/>
      <c r="N67" s="586"/>
      <c r="O67" s="586"/>
      <c r="P67" s="584">
        <f t="shared" si="2"/>
        <v>2500</v>
      </c>
      <c r="Q67" s="601">
        <f t="shared" si="3"/>
        <v>206.61157024793388</v>
      </c>
      <c r="R67" s="587"/>
    </row>
    <row r="68" spans="9:18" x14ac:dyDescent="0.2">
      <c r="I68" s="586">
        <v>12.5</v>
      </c>
      <c r="J68" s="586">
        <v>1900</v>
      </c>
      <c r="K68" s="586">
        <v>600</v>
      </c>
      <c r="L68" s="586"/>
      <c r="M68" s="586"/>
      <c r="N68" s="586"/>
      <c r="O68" s="586"/>
      <c r="P68" s="584">
        <f t="shared" si="2"/>
        <v>2500</v>
      </c>
      <c r="Q68" s="601">
        <f t="shared" si="3"/>
        <v>200</v>
      </c>
      <c r="R68" s="587"/>
    </row>
    <row r="69" spans="9:18" x14ac:dyDescent="0.2">
      <c r="I69" s="586">
        <v>12.6</v>
      </c>
      <c r="J69" s="586">
        <v>1900</v>
      </c>
      <c r="K69" s="586">
        <v>1200</v>
      </c>
      <c r="L69" s="586"/>
      <c r="M69" s="586"/>
      <c r="N69" s="586"/>
      <c r="O69" s="586"/>
      <c r="P69" s="584">
        <f t="shared" si="2"/>
        <v>3100</v>
      </c>
      <c r="Q69" s="601">
        <f t="shared" si="3"/>
        <v>246.03174603174602</v>
      </c>
      <c r="R69" s="587"/>
    </row>
    <row r="70" spans="9:18" x14ac:dyDescent="0.2">
      <c r="I70" s="586">
        <v>15.5</v>
      </c>
      <c r="J70" s="586">
        <v>1900</v>
      </c>
      <c r="K70" s="586">
        <v>1200</v>
      </c>
      <c r="L70" s="586"/>
      <c r="M70" s="586"/>
      <c r="N70" s="586"/>
      <c r="O70" s="586"/>
      <c r="P70" s="584">
        <f t="shared" si="2"/>
        <v>3100</v>
      </c>
      <c r="Q70" s="601">
        <f t="shared" si="3"/>
        <v>200</v>
      </c>
      <c r="R70" s="587"/>
    </row>
    <row r="71" spans="9:18" x14ac:dyDescent="0.2">
      <c r="I71" s="586">
        <v>15.6</v>
      </c>
      <c r="J71" s="586">
        <v>3400</v>
      </c>
      <c r="K71" s="586"/>
      <c r="L71" s="586"/>
      <c r="M71" s="586"/>
      <c r="N71" s="586"/>
      <c r="O71" s="586"/>
      <c r="P71" s="584">
        <f t="shared" si="2"/>
        <v>3400</v>
      </c>
      <c r="Q71" s="601">
        <f t="shared" si="3"/>
        <v>217.94871794871796</v>
      </c>
      <c r="R71" s="587"/>
    </row>
    <row r="72" spans="9:18" x14ac:dyDescent="0.2">
      <c r="I72" s="586">
        <v>17</v>
      </c>
      <c r="J72" s="586">
        <v>3400</v>
      </c>
      <c r="K72" s="586"/>
      <c r="L72" s="586"/>
      <c r="M72" s="586"/>
      <c r="N72" s="586"/>
      <c r="O72" s="586"/>
      <c r="P72" s="584">
        <f t="shared" si="2"/>
        <v>3400</v>
      </c>
      <c r="Q72" s="601">
        <f t="shared" si="3"/>
        <v>200</v>
      </c>
      <c r="R72" s="587"/>
    </row>
    <row r="73" spans="9:18" x14ac:dyDescent="0.2">
      <c r="I73" s="586">
        <v>17.100000000000001</v>
      </c>
      <c r="J73" s="586">
        <v>1200</v>
      </c>
      <c r="K73" s="586">
        <v>1200</v>
      </c>
      <c r="L73" s="586">
        <v>1200</v>
      </c>
      <c r="M73" s="586"/>
      <c r="N73" s="586"/>
      <c r="O73" s="586"/>
      <c r="P73" s="584">
        <f t="shared" si="2"/>
        <v>3600</v>
      </c>
      <c r="Q73" s="601">
        <f t="shared" si="3"/>
        <v>210.52631578947367</v>
      </c>
      <c r="R73" s="587"/>
    </row>
    <row r="74" spans="9:18" x14ac:dyDescent="0.2">
      <c r="I74" s="586">
        <v>18</v>
      </c>
      <c r="J74" s="586">
        <v>1200</v>
      </c>
      <c r="K74" s="586">
        <v>1200</v>
      </c>
      <c r="L74" s="586">
        <v>1200</v>
      </c>
      <c r="M74" s="586"/>
      <c r="N74" s="586"/>
      <c r="O74" s="586"/>
      <c r="P74" s="584">
        <f t="shared" si="2"/>
        <v>3600</v>
      </c>
      <c r="Q74" s="601">
        <f t="shared" si="3"/>
        <v>200</v>
      </c>
      <c r="R74" s="587"/>
    </row>
    <row r="75" spans="9:18" x14ac:dyDescent="0.2">
      <c r="I75" s="586">
        <v>18.100000000000001</v>
      </c>
      <c r="J75" s="586">
        <v>1200</v>
      </c>
      <c r="K75" s="586">
        <v>1200</v>
      </c>
      <c r="L75" s="586">
        <v>1900</v>
      </c>
      <c r="M75" s="586"/>
      <c r="N75" s="586"/>
      <c r="O75" s="586"/>
      <c r="P75" s="584">
        <f t="shared" si="2"/>
        <v>4300</v>
      </c>
      <c r="Q75" s="601">
        <f t="shared" si="3"/>
        <v>237.56906077348066</v>
      </c>
      <c r="R75" s="587"/>
    </row>
    <row r="76" spans="9:18" x14ac:dyDescent="0.2">
      <c r="I76" s="586">
        <v>21.5</v>
      </c>
      <c r="J76" s="586">
        <v>1200</v>
      </c>
      <c r="K76" s="586">
        <v>1200</v>
      </c>
      <c r="L76" s="586">
        <v>1900</v>
      </c>
      <c r="M76" s="586"/>
      <c r="N76" s="586"/>
      <c r="O76" s="586"/>
      <c r="P76" s="584">
        <f t="shared" si="2"/>
        <v>4300</v>
      </c>
      <c r="Q76" s="601">
        <f t="shared" si="3"/>
        <v>200</v>
      </c>
      <c r="R76" s="587"/>
    </row>
    <row r="77" spans="9:18" x14ac:dyDescent="0.2">
      <c r="I77" s="586">
        <v>21.6</v>
      </c>
      <c r="J77" s="586">
        <v>1200</v>
      </c>
      <c r="K77" s="586">
        <v>1900</v>
      </c>
      <c r="L77" s="586">
        <v>1900</v>
      </c>
      <c r="M77" s="586"/>
      <c r="N77" s="586"/>
      <c r="O77" s="586"/>
      <c r="P77" s="584">
        <f t="shared" si="2"/>
        <v>5000</v>
      </c>
      <c r="Q77" s="601">
        <f t="shared" si="3"/>
        <v>231.48148148148147</v>
      </c>
      <c r="R77" s="587"/>
    </row>
    <row r="78" spans="9:18" x14ac:dyDescent="0.2">
      <c r="I78" s="586">
        <v>25</v>
      </c>
      <c r="J78" s="586">
        <v>1200</v>
      </c>
      <c r="K78" s="586">
        <v>1900</v>
      </c>
      <c r="L78" s="586">
        <v>1900</v>
      </c>
      <c r="M78" s="586"/>
      <c r="N78" s="586"/>
      <c r="O78" s="586"/>
      <c r="P78" s="584">
        <f t="shared" si="2"/>
        <v>5000</v>
      </c>
      <c r="Q78" s="601">
        <f t="shared" si="3"/>
        <v>200</v>
      </c>
      <c r="R78" s="587"/>
    </row>
    <row r="79" spans="9:18" x14ac:dyDescent="0.2">
      <c r="I79" s="586">
        <v>25.1</v>
      </c>
      <c r="J79" s="584">
        <v>1900</v>
      </c>
      <c r="K79" s="584">
        <v>1900</v>
      </c>
      <c r="L79" s="584">
        <v>1900</v>
      </c>
      <c r="M79" s="584"/>
      <c r="N79" s="584"/>
      <c r="O79" s="584"/>
      <c r="P79" s="584">
        <f t="shared" si="2"/>
        <v>5700</v>
      </c>
      <c r="Q79" s="601">
        <f t="shared" si="3"/>
        <v>227.09163346613545</v>
      </c>
      <c r="R79" s="587"/>
    </row>
    <row r="80" spans="9:18" x14ac:dyDescent="0.2">
      <c r="I80" s="586">
        <v>28.5</v>
      </c>
      <c r="J80" s="584">
        <v>1900</v>
      </c>
      <c r="K80" s="584">
        <v>1900</v>
      </c>
      <c r="L80" s="584">
        <v>1900</v>
      </c>
      <c r="M80" s="584"/>
      <c r="N80" s="584"/>
      <c r="O80" s="584"/>
      <c r="P80" s="584">
        <f t="shared" si="2"/>
        <v>5700</v>
      </c>
      <c r="Q80" s="601">
        <f t="shared" si="3"/>
        <v>200</v>
      </c>
      <c r="R80" s="587"/>
    </row>
    <row r="81" spans="4:18" x14ac:dyDescent="0.2">
      <c r="I81" s="586">
        <v>28.6</v>
      </c>
      <c r="J81" s="584">
        <v>1200</v>
      </c>
      <c r="K81" s="584">
        <v>1900</v>
      </c>
      <c r="L81" s="584">
        <v>3400</v>
      </c>
      <c r="M81" s="584"/>
      <c r="N81" s="584"/>
      <c r="O81" s="584"/>
      <c r="P81" s="584">
        <f t="shared" si="2"/>
        <v>6500</v>
      </c>
      <c r="Q81" s="601">
        <f t="shared" si="3"/>
        <v>227.27272727272725</v>
      </c>
      <c r="R81" s="587"/>
    </row>
    <row r="82" spans="4:18" x14ac:dyDescent="0.2">
      <c r="I82" s="586">
        <v>32.5</v>
      </c>
      <c r="J82" s="584">
        <v>1200</v>
      </c>
      <c r="K82" s="584">
        <v>1900</v>
      </c>
      <c r="L82" s="584">
        <v>3400</v>
      </c>
      <c r="M82" s="584"/>
      <c r="N82" s="584"/>
      <c r="O82" s="584"/>
      <c r="P82" s="584">
        <f t="shared" si="2"/>
        <v>6500</v>
      </c>
      <c r="Q82" s="601">
        <f t="shared" si="3"/>
        <v>200</v>
      </c>
      <c r="R82" s="587"/>
    </row>
    <row r="83" spans="4:18" x14ac:dyDescent="0.2">
      <c r="I83" s="586">
        <v>32.6</v>
      </c>
      <c r="J83" s="584">
        <v>1900</v>
      </c>
      <c r="K83" s="584">
        <v>1900</v>
      </c>
      <c r="L83" s="584">
        <v>3400</v>
      </c>
      <c r="M83" s="584"/>
      <c r="N83" s="584"/>
      <c r="O83" s="584"/>
      <c r="P83" s="584">
        <f t="shared" si="2"/>
        <v>7200</v>
      </c>
      <c r="Q83" s="601">
        <f t="shared" si="3"/>
        <v>220.85889570552146</v>
      </c>
      <c r="R83" s="587"/>
    </row>
    <row r="84" spans="4:18" x14ac:dyDescent="0.2">
      <c r="I84" s="586">
        <v>36</v>
      </c>
      <c r="J84" s="584">
        <v>1900</v>
      </c>
      <c r="K84" s="584">
        <v>1900</v>
      </c>
      <c r="L84" s="584">
        <v>3400</v>
      </c>
      <c r="M84" s="584"/>
      <c r="N84" s="584"/>
      <c r="O84" s="584"/>
      <c r="P84" s="584">
        <f t="shared" si="2"/>
        <v>7200</v>
      </c>
      <c r="Q84" s="601">
        <f t="shared" si="3"/>
        <v>200</v>
      </c>
      <c r="R84" s="587"/>
    </row>
    <row r="85" spans="4:18" x14ac:dyDescent="0.2">
      <c r="I85" s="586">
        <v>36.1</v>
      </c>
      <c r="J85" s="584">
        <v>1900</v>
      </c>
      <c r="K85" s="584">
        <v>3400</v>
      </c>
      <c r="L85" s="584">
        <v>3400</v>
      </c>
      <c r="M85" s="584"/>
      <c r="N85" s="584"/>
      <c r="O85" s="584"/>
      <c r="P85" s="584">
        <f t="shared" si="2"/>
        <v>8700</v>
      </c>
      <c r="Q85" s="601">
        <f t="shared" si="3"/>
        <v>240.99722991689751</v>
      </c>
      <c r="R85" s="587"/>
    </row>
    <row r="86" spans="4:18" x14ac:dyDescent="0.2">
      <c r="I86" s="586">
        <v>43.5</v>
      </c>
      <c r="J86" s="584">
        <v>1900</v>
      </c>
      <c r="K86" s="584">
        <v>3400</v>
      </c>
      <c r="L86" s="584">
        <v>3400</v>
      </c>
      <c r="M86" s="584"/>
      <c r="N86" s="584"/>
      <c r="O86" s="584"/>
      <c r="P86" s="584">
        <f t="shared" si="2"/>
        <v>8700</v>
      </c>
      <c r="Q86" s="601">
        <f t="shared" si="3"/>
        <v>200</v>
      </c>
      <c r="R86" s="587"/>
    </row>
    <row r="87" spans="4:18" x14ac:dyDescent="0.2">
      <c r="I87" s="586">
        <v>43.6</v>
      </c>
      <c r="J87" s="584">
        <v>1200</v>
      </c>
      <c r="K87" s="584">
        <v>1200</v>
      </c>
      <c r="L87" s="584">
        <v>1200</v>
      </c>
      <c r="M87" s="584">
        <v>1900</v>
      </c>
      <c r="N87" s="584">
        <v>1900</v>
      </c>
      <c r="O87" s="584">
        <v>1900</v>
      </c>
      <c r="P87" s="584">
        <f t="shared" si="2"/>
        <v>9300</v>
      </c>
      <c r="Q87" s="601">
        <f t="shared" si="3"/>
        <v>213.30275229357798</v>
      </c>
      <c r="R87" s="587"/>
    </row>
    <row r="88" spans="4:18" x14ac:dyDescent="0.2">
      <c r="D88" s="61"/>
      <c r="E88" s="60"/>
      <c r="F88" s="60"/>
      <c r="G88" s="60"/>
      <c r="H88" s="60"/>
      <c r="I88" s="586">
        <v>46.5</v>
      </c>
      <c r="J88" s="584">
        <v>1200</v>
      </c>
      <c r="K88" s="584">
        <v>1200</v>
      </c>
      <c r="L88" s="584">
        <v>1200</v>
      </c>
      <c r="M88" s="584">
        <v>1900</v>
      </c>
      <c r="N88" s="584">
        <v>1900</v>
      </c>
      <c r="O88" s="584">
        <v>1900</v>
      </c>
      <c r="P88" s="584">
        <f t="shared" si="2"/>
        <v>9300</v>
      </c>
      <c r="Q88" s="601">
        <f t="shared" si="3"/>
        <v>200</v>
      </c>
      <c r="R88" s="587"/>
    </row>
    <row r="89" spans="4:18" x14ac:dyDescent="0.2">
      <c r="D89" s="61"/>
      <c r="E89" s="60"/>
      <c r="F89" s="60"/>
      <c r="G89" s="60"/>
      <c r="H89" s="60"/>
      <c r="I89" s="586">
        <v>46.6</v>
      </c>
      <c r="J89" s="584">
        <v>3400</v>
      </c>
      <c r="K89" s="584">
        <v>3400</v>
      </c>
      <c r="L89" s="584">
        <v>3400</v>
      </c>
      <c r="M89" s="584"/>
      <c r="N89" s="584"/>
      <c r="O89" s="584"/>
      <c r="P89" s="584">
        <f t="shared" si="2"/>
        <v>10200</v>
      </c>
      <c r="Q89" s="601">
        <f t="shared" si="3"/>
        <v>218.8841201716738</v>
      </c>
      <c r="R89" s="587"/>
    </row>
    <row r="90" spans="4:18" x14ac:dyDescent="0.2">
      <c r="D90" s="63"/>
      <c r="E90" s="63"/>
      <c r="F90" s="63"/>
      <c r="G90" s="63"/>
      <c r="H90" s="93"/>
      <c r="I90" s="586">
        <v>50</v>
      </c>
      <c r="J90" s="584">
        <v>3400</v>
      </c>
      <c r="K90" s="584">
        <v>3400</v>
      </c>
      <c r="L90" s="584">
        <v>3400</v>
      </c>
      <c r="M90" s="584"/>
      <c r="N90" s="584"/>
      <c r="O90" s="584"/>
      <c r="P90" s="584">
        <f t="shared" si="2"/>
        <v>10200</v>
      </c>
      <c r="Q90" s="601">
        <f t="shared" si="3"/>
        <v>204</v>
      </c>
      <c r="R90" s="587"/>
    </row>
    <row r="91" spans="4:18" x14ac:dyDescent="0.2">
      <c r="D91" s="61"/>
      <c r="E91" s="60"/>
      <c r="F91" s="60"/>
      <c r="G91" s="60"/>
      <c r="H91" s="60"/>
      <c r="I91" s="586">
        <v>50.1</v>
      </c>
      <c r="J91" s="584">
        <v>1200</v>
      </c>
      <c r="K91" s="584">
        <v>1900</v>
      </c>
      <c r="L91" s="584">
        <v>1900</v>
      </c>
      <c r="M91" s="584">
        <v>1900</v>
      </c>
      <c r="N91" s="584">
        <v>1900</v>
      </c>
      <c r="O91" s="584">
        <v>1900</v>
      </c>
      <c r="P91" s="584">
        <f t="shared" si="2"/>
        <v>10700</v>
      </c>
      <c r="Q91" s="601">
        <f t="shared" si="3"/>
        <v>213.57285429141717</v>
      </c>
      <c r="R91" s="587"/>
    </row>
    <row r="92" spans="4:18" x14ac:dyDescent="0.2">
      <c r="D92" s="63"/>
      <c r="E92" s="63"/>
      <c r="F92" s="63"/>
      <c r="G92" s="63"/>
      <c r="H92" s="93"/>
      <c r="I92" s="586">
        <v>53.5</v>
      </c>
      <c r="J92" s="584">
        <v>1200</v>
      </c>
      <c r="K92" s="584">
        <v>1900</v>
      </c>
      <c r="L92" s="584">
        <v>1900</v>
      </c>
      <c r="M92" s="584">
        <v>1900</v>
      </c>
      <c r="N92" s="584">
        <v>1900</v>
      </c>
      <c r="O92" s="584">
        <v>1900</v>
      </c>
      <c r="P92" s="584">
        <f t="shared" si="2"/>
        <v>10700</v>
      </c>
      <c r="Q92" s="601">
        <f t="shared" si="3"/>
        <v>200</v>
      </c>
      <c r="R92" s="587"/>
    </row>
    <row r="93" spans="4:18" x14ac:dyDescent="0.2">
      <c r="I93" s="586">
        <v>53.6</v>
      </c>
      <c r="J93" s="584">
        <v>1900</v>
      </c>
      <c r="K93" s="584">
        <v>1900</v>
      </c>
      <c r="L93" s="584">
        <v>1900</v>
      </c>
      <c r="M93" s="584">
        <v>1900</v>
      </c>
      <c r="N93" s="584">
        <v>1900</v>
      </c>
      <c r="O93" s="584">
        <v>1900</v>
      </c>
      <c r="P93" s="584">
        <f t="shared" si="2"/>
        <v>11400</v>
      </c>
      <c r="Q93" s="601">
        <f t="shared" si="3"/>
        <v>212.68656716417911</v>
      </c>
      <c r="R93" s="587"/>
    </row>
    <row r="94" spans="4:18" x14ac:dyDescent="0.2">
      <c r="I94" s="586">
        <v>57</v>
      </c>
      <c r="J94" s="584">
        <v>1900</v>
      </c>
      <c r="K94" s="584">
        <v>1900</v>
      </c>
      <c r="L94" s="584">
        <v>1900</v>
      </c>
      <c r="M94" s="584">
        <v>1900</v>
      </c>
      <c r="N94" s="584">
        <v>1900</v>
      </c>
      <c r="O94" s="584">
        <v>1900</v>
      </c>
      <c r="P94" s="584">
        <f t="shared" si="2"/>
        <v>11400</v>
      </c>
      <c r="Q94" s="601">
        <f t="shared" si="3"/>
        <v>200</v>
      </c>
      <c r="R94" s="587"/>
    </row>
    <row r="95" spans="4:18" x14ac:dyDescent="0.2">
      <c r="I95" s="586">
        <v>57.1</v>
      </c>
      <c r="J95" s="584">
        <v>1200</v>
      </c>
      <c r="K95" s="584">
        <v>1900</v>
      </c>
      <c r="L95" s="584">
        <v>1900</v>
      </c>
      <c r="M95" s="584">
        <v>1900</v>
      </c>
      <c r="N95" s="584">
        <v>1900</v>
      </c>
      <c r="O95" s="584">
        <v>3400</v>
      </c>
      <c r="P95" s="584">
        <f t="shared" si="2"/>
        <v>12200</v>
      </c>
      <c r="Q95" s="601">
        <f t="shared" si="3"/>
        <v>213.66024518388792</v>
      </c>
      <c r="R95" s="587"/>
    </row>
    <row r="96" spans="4:18" x14ac:dyDescent="0.2">
      <c r="I96" s="586">
        <v>61</v>
      </c>
      <c r="J96" s="584">
        <v>1200</v>
      </c>
      <c r="K96" s="584">
        <v>1900</v>
      </c>
      <c r="L96" s="584">
        <v>1900</v>
      </c>
      <c r="M96" s="584">
        <v>1900</v>
      </c>
      <c r="N96" s="584">
        <v>1900</v>
      </c>
      <c r="O96" s="584">
        <v>3400</v>
      </c>
      <c r="P96" s="584">
        <f t="shared" si="2"/>
        <v>12200</v>
      </c>
      <c r="Q96" s="601">
        <f t="shared" si="3"/>
        <v>200</v>
      </c>
      <c r="R96" s="587"/>
    </row>
    <row r="97" spans="9:18" x14ac:dyDescent="0.2">
      <c r="I97" s="586">
        <v>61.1</v>
      </c>
      <c r="J97" s="584">
        <v>1900</v>
      </c>
      <c r="K97" s="584">
        <v>1900</v>
      </c>
      <c r="L97" s="584">
        <v>1900</v>
      </c>
      <c r="M97" s="584">
        <v>1900</v>
      </c>
      <c r="N97" s="584">
        <v>1900</v>
      </c>
      <c r="O97" s="584">
        <v>3400</v>
      </c>
      <c r="P97" s="584">
        <f t="shared" si="2"/>
        <v>12900</v>
      </c>
      <c r="Q97" s="601">
        <f t="shared" si="3"/>
        <v>211.12929623567922</v>
      </c>
      <c r="R97" s="587"/>
    </row>
    <row r="98" spans="9:18" x14ac:dyDescent="0.2">
      <c r="I98" s="586">
        <v>64.5</v>
      </c>
      <c r="J98" s="584">
        <v>1900</v>
      </c>
      <c r="K98" s="584">
        <v>1900</v>
      </c>
      <c r="L98" s="584">
        <v>1900</v>
      </c>
      <c r="M98" s="584">
        <v>1900</v>
      </c>
      <c r="N98" s="584">
        <v>1900</v>
      </c>
      <c r="O98" s="584">
        <v>3400</v>
      </c>
      <c r="P98" s="584">
        <f t="shared" si="2"/>
        <v>12900</v>
      </c>
      <c r="Q98" s="601">
        <f t="shared" si="3"/>
        <v>200</v>
      </c>
      <c r="R98" s="587"/>
    </row>
    <row r="99" spans="9:18" x14ac:dyDescent="0.2">
      <c r="I99" s="586">
        <v>64.599999999999994</v>
      </c>
      <c r="J99" s="584">
        <v>1900</v>
      </c>
      <c r="K99" s="584">
        <v>1900</v>
      </c>
      <c r="L99" s="584">
        <v>1900</v>
      </c>
      <c r="M99" s="584">
        <v>1900</v>
      </c>
      <c r="N99" s="584">
        <v>3400</v>
      </c>
      <c r="O99" s="584">
        <v>3400</v>
      </c>
      <c r="P99" s="584">
        <f t="shared" si="2"/>
        <v>14400</v>
      </c>
      <c r="Q99" s="601">
        <f t="shared" si="3"/>
        <v>222.91021671826627</v>
      </c>
      <c r="R99" s="587"/>
    </row>
    <row r="100" spans="9:18" x14ac:dyDescent="0.2">
      <c r="I100" s="586">
        <v>72</v>
      </c>
      <c r="J100" s="584">
        <v>1900</v>
      </c>
      <c r="K100" s="584">
        <v>1900</v>
      </c>
      <c r="L100" s="584">
        <v>1900</v>
      </c>
      <c r="M100" s="584">
        <v>1900</v>
      </c>
      <c r="N100" s="584">
        <v>3400</v>
      </c>
      <c r="O100" s="584">
        <v>3400</v>
      </c>
      <c r="P100" s="584">
        <f t="shared" si="2"/>
        <v>14400</v>
      </c>
      <c r="Q100" s="601">
        <f t="shared" si="3"/>
        <v>200</v>
      </c>
      <c r="R100" s="587"/>
    </row>
    <row r="101" spans="9:18" x14ac:dyDescent="0.2">
      <c r="I101" s="586">
        <v>72.099999999999994</v>
      </c>
      <c r="J101" s="584">
        <v>1900</v>
      </c>
      <c r="K101" s="584">
        <v>1900</v>
      </c>
      <c r="L101" s="584">
        <v>1900</v>
      </c>
      <c r="M101" s="584">
        <v>3400</v>
      </c>
      <c r="N101" s="584">
        <v>3400</v>
      </c>
      <c r="O101" s="584">
        <v>3400</v>
      </c>
      <c r="P101" s="584">
        <f t="shared" si="2"/>
        <v>15900</v>
      </c>
      <c r="Q101" s="601">
        <f t="shared" si="3"/>
        <v>220.52704576976424</v>
      </c>
      <c r="R101" s="587"/>
    </row>
    <row r="102" spans="9:18" x14ac:dyDescent="0.2">
      <c r="I102" s="586">
        <v>79.5</v>
      </c>
      <c r="J102" s="584">
        <v>1900</v>
      </c>
      <c r="K102" s="584">
        <v>1900</v>
      </c>
      <c r="L102" s="584">
        <v>1900</v>
      </c>
      <c r="M102" s="584">
        <v>3400</v>
      </c>
      <c r="N102" s="584">
        <v>3400</v>
      </c>
      <c r="O102" s="584">
        <v>3400</v>
      </c>
      <c r="P102" s="584">
        <f t="shared" si="2"/>
        <v>15900</v>
      </c>
      <c r="Q102" s="601">
        <f t="shared" si="3"/>
        <v>200</v>
      </c>
      <c r="R102" s="587"/>
    </row>
    <row r="103" spans="9:18" x14ac:dyDescent="0.2">
      <c r="I103" s="586">
        <v>79.599999999999994</v>
      </c>
      <c r="J103" s="584">
        <v>1900</v>
      </c>
      <c r="K103" s="584">
        <v>1900</v>
      </c>
      <c r="L103" s="584">
        <v>3400</v>
      </c>
      <c r="M103" s="584">
        <v>3400</v>
      </c>
      <c r="N103" s="584">
        <v>3400</v>
      </c>
      <c r="O103" s="584">
        <v>3400</v>
      </c>
      <c r="P103" s="584">
        <f t="shared" si="2"/>
        <v>17400</v>
      </c>
      <c r="Q103" s="601">
        <f t="shared" si="3"/>
        <v>218.59296482412063</v>
      </c>
      <c r="R103" s="587"/>
    </row>
    <row r="104" spans="9:18" x14ac:dyDescent="0.2">
      <c r="I104" s="586">
        <v>87</v>
      </c>
      <c r="J104" s="584">
        <v>1900</v>
      </c>
      <c r="K104" s="584">
        <v>1900</v>
      </c>
      <c r="L104" s="584">
        <v>3400</v>
      </c>
      <c r="M104" s="584">
        <v>3400</v>
      </c>
      <c r="N104" s="584">
        <v>3400</v>
      </c>
      <c r="O104" s="584">
        <v>3400</v>
      </c>
      <c r="P104" s="584">
        <f t="shared" si="2"/>
        <v>17400</v>
      </c>
      <c r="Q104" s="601">
        <f t="shared" si="3"/>
        <v>200</v>
      </c>
      <c r="R104" s="587"/>
    </row>
    <row r="105" spans="9:18" x14ac:dyDescent="0.2">
      <c r="I105" s="586">
        <v>87.1</v>
      </c>
      <c r="J105" s="584">
        <v>1900</v>
      </c>
      <c r="K105" s="584">
        <v>3400</v>
      </c>
      <c r="L105" s="584">
        <v>3400</v>
      </c>
      <c r="M105" s="584">
        <v>3400</v>
      </c>
      <c r="N105" s="584">
        <v>3400</v>
      </c>
      <c r="O105" s="584">
        <v>3400</v>
      </c>
      <c r="P105" s="584">
        <f t="shared" si="2"/>
        <v>18900</v>
      </c>
      <c r="Q105" s="601">
        <f t="shared" si="3"/>
        <v>216.99196326062</v>
      </c>
      <c r="R105" s="587"/>
    </row>
    <row r="106" spans="9:18" x14ac:dyDescent="0.2">
      <c r="I106" s="586">
        <v>94.5</v>
      </c>
      <c r="J106" s="584">
        <v>1900</v>
      </c>
      <c r="K106" s="584">
        <v>3400</v>
      </c>
      <c r="L106" s="584">
        <v>3400</v>
      </c>
      <c r="M106" s="584">
        <v>3400</v>
      </c>
      <c r="N106" s="584">
        <v>3400</v>
      </c>
      <c r="O106" s="584">
        <v>3400</v>
      </c>
      <c r="P106" s="584">
        <f t="shared" si="2"/>
        <v>18900</v>
      </c>
      <c r="Q106" s="601">
        <f t="shared" si="3"/>
        <v>200</v>
      </c>
      <c r="R106" s="587"/>
    </row>
    <row r="107" spans="9:18" x14ac:dyDescent="0.2">
      <c r="I107" s="586">
        <v>94.6</v>
      </c>
      <c r="J107" s="584">
        <v>3400</v>
      </c>
      <c r="K107" s="584">
        <v>3400</v>
      </c>
      <c r="L107" s="584">
        <v>3400</v>
      </c>
      <c r="M107" s="584">
        <v>3400</v>
      </c>
      <c r="N107" s="584">
        <v>3400</v>
      </c>
      <c r="O107" s="584">
        <v>3400</v>
      </c>
      <c r="P107" s="584">
        <f t="shared" si="2"/>
        <v>20400</v>
      </c>
      <c r="Q107" s="601">
        <f t="shared" si="3"/>
        <v>215.6448202959831</v>
      </c>
      <c r="R107" s="587"/>
    </row>
    <row r="108" spans="9:18" x14ac:dyDescent="0.2">
      <c r="I108" s="586">
        <v>102</v>
      </c>
      <c r="J108" s="584">
        <v>3400</v>
      </c>
      <c r="K108" s="584">
        <v>3400</v>
      </c>
      <c r="L108" s="584">
        <v>3400</v>
      </c>
      <c r="M108" s="584">
        <v>3400</v>
      </c>
      <c r="N108" s="584">
        <v>3400</v>
      </c>
      <c r="O108" s="584">
        <v>3400</v>
      </c>
      <c r="P108" s="584">
        <f t="shared" si="2"/>
        <v>20400</v>
      </c>
      <c r="Q108" s="601">
        <f t="shared" si="3"/>
        <v>200</v>
      </c>
      <c r="R108" s="587"/>
    </row>
    <row r="109" spans="9:18" x14ac:dyDescent="0.2">
      <c r="I109" s="587"/>
      <c r="J109" s="587"/>
      <c r="K109" s="587"/>
      <c r="L109" s="587"/>
      <c r="M109" s="587"/>
      <c r="N109" s="587"/>
      <c r="O109" s="587"/>
      <c r="P109" s="587"/>
      <c r="Q109" s="587"/>
      <c r="R109" s="587"/>
    </row>
  </sheetData>
  <autoFilter ref="H19:H39" xr:uid="{00000000-0009-0000-0000-000000000000}"/>
  <mergeCells count="26">
    <mergeCell ref="A20:F20"/>
    <mergeCell ref="A37:F37"/>
    <mergeCell ref="B38:F38"/>
    <mergeCell ref="A41:G41"/>
    <mergeCell ref="A42:G42"/>
    <mergeCell ref="A6:C6"/>
    <mergeCell ref="C1:G1"/>
    <mergeCell ref="A2:C2"/>
    <mergeCell ref="A4:C4"/>
    <mergeCell ref="A5:C5"/>
    <mergeCell ref="A49:G49"/>
    <mergeCell ref="B52:C52"/>
    <mergeCell ref="B53:C53"/>
    <mergeCell ref="A12:B12"/>
    <mergeCell ref="A7:C7"/>
    <mergeCell ref="A43:C43"/>
    <mergeCell ref="A46:G46"/>
    <mergeCell ref="A47:G47"/>
    <mergeCell ref="A48:G48"/>
    <mergeCell ref="A9:F9"/>
    <mergeCell ref="A10:F10"/>
    <mergeCell ref="A17:G17"/>
    <mergeCell ref="B18:B19"/>
    <mergeCell ref="C18:C19"/>
    <mergeCell ref="D18:D19"/>
    <mergeCell ref="E18:E19"/>
  </mergeCells>
  <conditionalFormatting sqref="A12:B12 C13:D13">
    <cfRule type="expression" dxfId="47" priority="3">
      <formula>$D$13="x"</formula>
    </cfRule>
  </conditionalFormatting>
  <conditionalFormatting sqref="A12:D12">
    <cfRule type="expression" dxfId="46" priority="4">
      <formula>$D$12="x"</formula>
    </cfRule>
  </conditionalFormatting>
  <conditionalFormatting sqref="C11:D11 A12:B12">
    <cfRule type="expression" dxfId="45" priority="5">
      <formula>$D$11="x"</formula>
    </cfRule>
  </conditionalFormatting>
  <conditionalFormatting sqref="G10">
    <cfRule type="cellIs" dxfId="44" priority="1" operator="between">
      <formula>102.1</formula>
      <formula>400</formula>
    </cfRule>
    <cfRule type="cellIs" dxfId="43" priority="2" operator="between">
      <formula>2</formula>
      <formula>102</formula>
    </cfRule>
  </conditionalFormatting>
  <hyperlinks>
    <hyperlink ref="B55" r:id="rId1" xr:uid="{273B12F2-900D-4B36-B601-470569B12F44}"/>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B31B-0853-496C-9A71-02F06C009927}">
  <sheetPr codeName="Foaie4">
    <tabColor rgb="FFFF0000"/>
  </sheetPr>
  <dimension ref="A1:X154"/>
  <sheetViews>
    <sheetView zoomScaleNormal="100" zoomScaleSheetLayoutView="100" workbookViewId="0">
      <selection activeCell="K8" sqref="K8"/>
    </sheetView>
  </sheetViews>
  <sheetFormatPr defaultColWidth="9.109375" defaultRowHeight="11.4" x14ac:dyDescent="0.2"/>
  <cols>
    <col min="1" max="1" width="6" style="5" customWidth="1"/>
    <col min="2" max="2" width="8.77734375" style="5" customWidth="1"/>
    <col min="3" max="3" width="61.33203125" style="5" customWidth="1"/>
    <col min="4" max="4" width="8.44140625" style="5" customWidth="1"/>
    <col min="5" max="5" width="5.77734375" style="5" customWidth="1"/>
    <col min="6" max="6" width="10" style="5" customWidth="1"/>
    <col min="7" max="7" width="10.6640625" style="5" customWidth="1"/>
    <col min="8" max="8" width="5.77734375" style="58" customWidth="1"/>
    <col min="9" max="12" width="10" style="5" customWidth="1"/>
    <col min="13" max="14" width="9.77734375" style="5" customWidth="1"/>
    <col min="15" max="15" width="13" style="5" customWidth="1"/>
    <col min="16" max="16" width="11" style="5" customWidth="1"/>
    <col min="17" max="18" width="9.33203125" style="5" customWidth="1"/>
    <col min="19" max="21" width="14.21875" style="5" customWidth="1"/>
    <col min="22" max="22" width="15.109375" style="5" customWidth="1"/>
    <col min="23" max="23" width="13" style="5" customWidth="1"/>
    <col min="24" max="24" width="13.77734375" style="5" customWidth="1"/>
    <col min="25" max="16384" width="9.109375" style="5"/>
  </cols>
  <sheetData>
    <row r="1" spans="1:23" ht="131.25" customHeight="1" x14ac:dyDescent="0.2">
      <c r="C1" s="734" t="s">
        <v>449</v>
      </c>
      <c r="D1" s="734"/>
      <c r="E1" s="734"/>
      <c r="F1" s="734"/>
      <c r="G1" s="734"/>
      <c r="H1" s="80"/>
      <c r="I1" s="8"/>
      <c r="J1" s="8"/>
      <c r="K1" s="8"/>
    </row>
    <row r="2" spans="1:23" ht="14.4" x14ac:dyDescent="0.3">
      <c r="A2" s="739" t="s">
        <v>493</v>
      </c>
      <c r="B2" s="740"/>
      <c r="C2" s="740"/>
    </row>
    <row r="3" spans="1:23" ht="14.4" x14ac:dyDescent="0.3">
      <c r="A3" s="2"/>
      <c r="B3"/>
      <c r="C3"/>
    </row>
    <row r="4" spans="1:23" ht="14.4" x14ac:dyDescent="0.3">
      <c r="A4" s="739" t="s">
        <v>77</v>
      </c>
      <c r="B4" s="740"/>
      <c r="C4" s="740"/>
    </row>
    <row r="5" spans="1:23" ht="14.4" x14ac:dyDescent="0.3">
      <c r="A5" s="739" t="s">
        <v>78</v>
      </c>
      <c r="B5" s="740"/>
      <c r="C5" s="740"/>
    </row>
    <row r="6" spans="1:23" ht="14.4" x14ac:dyDescent="0.3">
      <c r="A6" s="739" t="s">
        <v>13</v>
      </c>
      <c r="B6" s="740"/>
      <c r="C6" s="740"/>
    </row>
    <row r="7" spans="1:23" ht="14.4" x14ac:dyDescent="0.3">
      <c r="A7" s="739" t="s">
        <v>17</v>
      </c>
      <c r="B7" s="740"/>
      <c r="C7" s="740"/>
    </row>
    <row r="8" spans="1:23" ht="15" customHeight="1" thickBot="1" x14ac:dyDescent="0.35">
      <c r="A8" s="2"/>
      <c r="B8"/>
      <c r="C8"/>
    </row>
    <row r="9" spans="1:23" ht="30" customHeight="1" thickTop="1" thickBot="1" x14ac:dyDescent="0.25">
      <c r="A9" s="735" t="s">
        <v>0</v>
      </c>
      <c r="B9" s="735"/>
      <c r="C9" s="735"/>
      <c r="D9" s="735"/>
      <c r="E9" s="735"/>
      <c r="F9" s="735"/>
      <c r="G9" s="56" t="s">
        <v>152</v>
      </c>
    </row>
    <row r="10" spans="1:23" ht="30" customHeight="1" thickTop="1" thickBot="1" x14ac:dyDescent="0.25">
      <c r="A10" s="735" t="s">
        <v>150</v>
      </c>
      <c r="B10" s="735"/>
      <c r="C10" s="735"/>
      <c r="D10" s="735"/>
      <c r="E10" s="735"/>
      <c r="F10" s="735"/>
      <c r="G10" s="571"/>
      <c r="M10" s="63"/>
    </row>
    <row r="11" spans="1:23" ht="18" customHeight="1" thickTop="1" thickBot="1" x14ac:dyDescent="0.25">
      <c r="A11" s="53"/>
      <c r="B11" s="53"/>
      <c r="C11" s="680" t="s">
        <v>156</v>
      </c>
      <c r="D11" s="560"/>
      <c r="E11" s="53"/>
      <c r="F11" s="53"/>
      <c r="G11" s="73"/>
    </row>
    <row r="12" spans="1:23" ht="15.75" customHeight="1" thickTop="1" thickBot="1" x14ac:dyDescent="0.25">
      <c r="A12" s="796" t="s">
        <v>145</v>
      </c>
      <c r="B12" s="797"/>
      <c r="C12" s="680" t="s">
        <v>158</v>
      </c>
      <c r="D12" s="560"/>
      <c r="E12" s="53"/>
      <c r="F12" s="53"/>
      <c r="G12" s="73"/>
      <c r="H12" s="59"/>
      <c r="I12" s="3"/>
      <c r="J12" s="4"/>
      <c r="K12" s="4"/>
      <c r="L12" s="4"/>
      <c r="M12" s="4"/>
      <c r="N12" s="4"/>
      <c r="O12" s="4"/>
      <c r="P12" s="4"/>
      <c r="Q12" s="4"/>
      <c r="R12" s="4"/>
      <c r="S12" s="4"/>
      <c r="T12" s="4"/>
      <c r="U12" s="4"/>
      <c r="V12" s="4"/>
      <c r="W12" s="4"/>
    </row>
    <row r="13" spans="1:23" ht="18" customHeight="1" thickTop="1" thickBot="1" x14ac:dyDescent="0.25">
      <c r="A13" s="53"/>
      <c r="B13" s="53"/>
      <c r="C13" s="680" t="s">
        <v>157</v>
      </c>
      <c r="D13" s="560"/>
      <c r="E13" s="53"/>
      <c r="F13" s="53"/>
      <c r="G13" s="73"/>
      <c r="H13" s="59"/>
      <c r="I13" s="3"/>
      <c r="J13" s="4"/>
      <c r="K13" s="4"/>
      <c r="L13" s="4"/>
      <c r="M13" s="4"/>
      <c r="N13" s="4"/>
      <c r="O13" s="4"/>
      <c r="P13" s="4"/>
      <c r="Q13" s="4"/>
      <c r="R13" s="4"/>
      <c r="S13" s="4"/>
      <c r="T13" s="4"/>
      <c r="U13" s="4"/>
      <c r="V13" s="4"/>
      <c r="W13" s="4"/>
    </row>
    <row r="14" spans="1:23" ht="44.25" customHeight="1" thickTop="1" x14ac:dyDescent="0.2">
      <c r="A14" s="3"/>
      <c r="B14" s="3"/>
      <c r="C14" s="3"/>
      <c r="D14" s="3"/>
      <c r="E14" s="3"/>
      <c r="F14" s="3"/>
      <c r="G14" s="3"/>
      <c r="H14" s="59"/>
      <c r="I14" s="3"/>
      <c r="J14" s="4"/>
      <c r="K14" s="4"/>
      <c r="L14" s="4"/>
      <c r="M14" s="4"/>
      <c r="N14" s="4"/>
      <c r="O14" s="4"/>
      <c r="P14" s="4"/>
      <c r="Q14" s="4"/>
      <c r="R14" s="4"/>
      <c r="S14" s="4"/>
      <c r="T14" s="4"/>
      <c r="U14" s="4"/>
      <c r="V14" s="4"/>
      <c r="W14" s="4"/>
    </row>
    <row r="15" spans="1:23" ht="39" customHeight="1" x14ac:dyDescent="0.2">
      <c r="A15" s="3"/>
      <c r="B15" s="3"/>
      <c r="C15" s="3"/>
      <c r="D15" s="3"/>
      <c r="E15" s="3"/>
      <c r="F15" s="3"/>
      <c r="G15" s="3"/>
      <c r="H15" s="59"/>
      <c r="I15" s="3"/>
      <c r="J15" s="4"/>
      <c r="K15" s="4"/>
      <c r="L15" s="4"/>
      <c r="M15" s="4"/>
      <c r="N15" s="4"/>
      <c r="O15" s="4"/>
      <c r="P15" s="4"/>
      <c r="Q15" s="4"/>
      <c r="R15" s="4"/>
      <c r="S15" s="4"/>
      <c r="T15" s="4"/>
      <c r="U15" s="4"/>
      <c r="V15" s="4"/>
      <c r="W15" s="4"/>
    </row>
    <row r="16" spans="1:23" ht="20.25" customHeight="1" thickBot="1" x14ac:dyDescent="0.25">
      <c r="A16" s="815" t="s">
        <v>121</v>
      </c>
      <c r="B16" s="815"/>
      <c r="C16" s="815"/>
      <c r="D16" s="815"/>
      <c r="E16" s="815"/>
      <c r="F16" s="815"/>
      <c r="G16" s="815"/>
      <c r="H16" s="59"/>
      <c r="I16" s="4"/>
      <c r="J16" s="4"/>
      <c r="K16" s="4"/>
      <c r="L16" s="4"/>
      <c r="M16" s="4"/>
      <c r="N16" s="4"/>
      <c r="O16" s="4"/>
      <c r="P16" s="4"/>
      <c r="Q16" s="4"/>
      <c r="R16" s="4"/>
      <c r="S16" s="4"/>
      <c r="T16" s="4"/>
      <c r="U16" s="4"/>
      <c r="V16" s="4"/>
      <c r="W16" s="4"/>
    </row>
    <row r="17" spans="1:23" ht="25.5" customHeight="1" thickTop="1" thickBot="1" x14ac:dyDescent="0.25">
      <c r="A17" s="26" t="s">
        <v>1</v>
      </c>
      <c r="B17" s="737" t="s">
        <v>3</v>
      </c>
      <c r="C17" s="737" t="s">
        <v>4</v>
      </c>
      <c r="D17" s="737" t="s">
        <v>5</v>
      </c>
      <c r="E17" s="737" t="s">
        <v>6</v>
      </c>
      <c r="F17" s="26" t="s">
        <v>7</v>
      </c>
      <c r="G17" s="26" t="s">
        <v>9</v>
      </c>
      <c r="H17" s="59"/>
      <c r="I17" s="4"/>
      <c r="J17" s="4"/>
      <c r="K17" s="4"/>
      <c r="L17" s="4"/>
      <c r="M17" s="27"/>
      <c r="N17" s="27"/>
      <c r="O17" s="27"/>
      <c r="P17" s="4"/>
      <c r="Q17" s="4"/>
      <c r="R17" s="4"/>
      <c r="S17" s="4"/>
      <c r="T17" s="4"/>
      <c r="U17" s="4"/>
      <c r="V17" s="4"/>
      <c r="W17" s="4"/>
    </row>
    <row r="18" spans="1:23" ht="27.75" customHeight="1" thickTop="1" thickBot="1" x14ac:dyDescent="0.25">
      <c r="A18" s="26" t="s">
        <v>2</v>
      </c>
      <c r="B18" s="737"/>
      <c r="C18" s="737"/>
      <c r="D18" s="737"/>
      <c r="E18" s="737"/>
      <c r="F18" s="26" t="s">
        <v>8</v>
      </c>
      <c r="G18" s="26" t="s">
        <v>8</v>
      </c>
      <c r="H18" s="59"/>
      <c r="I18" s="84" t="s">
        <v>139</v>
      </c>
      <c r="J18" s="4"/>
      <c r="K18" s="4"/>
      <c r="L18" s="4"/>
      <c r="M18" s="9"/>
      <c r="N18" s="9"/>
      <c r="O18" s="9"/>
      <c r="P18" s="4"/>
      <c r="Q18" s="4"/>
      <c r="R18" s="4"/>
      <c r="S18" s="4"/>
      <c r="T18" s="4"/>
      <c r="U18" s="4"/>
      <c r="V18" s="4"/>
      <c r="W18" s="4"/>
    </row>
    <row r="19" spans="1:23" ht="16.05" customHeight="1" thickTop="1" thickBot="1" x14ac:dyDescent="0.25">
      <c r="A19" s="798" t="s">
        <v>74</v>
      </c>
      <c r="B19" s="783"/>
      <c r="C19" s="783"/>
      <c r="D19" s="783"/>
      <c r="E19" s="783"/>
      <c r="F19" s="783"/>
      <c r="G19" s="13"/>
      <c r="H19" s="59">
        <f>SUM(H20:H23)</f>
        <v>0</v>
      </c>
      <c r="I19" s="85" t="s">
        <v>140</v>
      </c>
      <c r="J19" s="4"/>
      <c r="K19" s="4"/>
      <c r="L19" s="4"/>
      <c r="M19" s="4"/>
      <c r="N19" s="4"/>
      <c r="O19" s="4"/>
      <c r="P19" s="4"/>
      <c r="Q19" s="4"/>
      <c r="R19" s="4"/>
      <c r="S19" s="4"/>
      <c r="T19" s="4"/>
      <c r="U19" s="4"/>
      <c r="V19" s="4"/>
      <c r="W19" s="4"/>
    </row>
    <row r="20" spans="1:23" ht="16.05" customHeight="1" thickTop="1" thickBot="1" x14ac:dyDescent="0.25">
      <c r="A20" s="16"/>
      <c r="B20" s="50" t="s">
        <v>75</v>
      </c>
      <c r="C20" s="18" t="s">
        <v>403</v>
      </c>
      <c r="D20" s="19" t="s">
        <v>10</v>
      </c>
      <c r="E20" s="19">
        <f>IF(OR(AND(G10&gt;=1.8,G10&lt;=2.5),AND(G10&gt;=7,G10&lt;=7.9),AND(G10&gt;=12,G10&lt;=12.9),AND(G10&gt;=17,G10&lt;=17.9),AND(G10&gt;=22,G10&lt;=22.9),AND(G10&gt;=23,G10&lt;=23.9),AND(G10&gt;=27,G10&lt;=27.9),AND(G10&gt;=32,G10&lt;=32.9),AND(G10&gt;=42,G10&lt;=42.9)),1,IF(OR(AND(G10&gt;=4, G10&lt;=4.9),AND(G10&gt;=9,G10&lt;=9.9),AND(G10&gt;=14,G10&lt;=14.9),AND(G10&gt;=19,G10&lt;=19.9)), 2, IF(OR(AND(G10&gt;=6, G10&lt;=6.9)), 3, 0)))</f>
        <v>0</v>
      </c>
      <c r="F20" s="632">
        <v>46</v>
      </c>
      <c r="G20" s="20">
        <f>E20*F20</f>
        <v>0</v>
      </c>
      <c r="H20" s="59">
        <f>E20</f>
        <v>0</v>
      </c>
      <c r="I20" s="85">
        <f>E20*400</f>
        <v>0</v>
      </c>
      <c r="J20" s="4"/>
      <c r="K20" s="4"/>
      <c r="L20" s="4"/>
      <c r="M20" s="4"/>
      <c r="N20" s="4"/>
      <c r="O20" s="4"/>
      <c r="P20" s="4"/>
      <c r="Q20" s="4"/>
      <c r="R20" s="4"/>
      <c r="S20" s="4"/>
      <c r="T20" s="4"/>
      <c r="U20" s="4"/>
      <c r="V20" s="4"/>
      <c r="W20" s="4"/>
    </row>
    <row r="21" spans="1:23" ht="16.05" customHeight="1" thickTop="1" thickBot="1" x14ac:dyDescent="0.25">
      <c r="A21" s="16"/>
      <c r="B21" s="51">
        <v>210502</v>
      </c>
      <c r="C21" s="18" t="s">
        <v>404</v>
      </c>
      <c r="D21" s="19" t="s">
        <v>10</v>
      </c>
      <c r="E21" s="19">
        <f>IF(OR(AND(G10&gt;=5,G10&lt;=5.9),AND(G10&gt;=7,G10&lt;=7.9),AND(G10&gt;=9,G10&lt;=9.9),AND(G10&gt;=13,G10&lt;=13.9),AND(G10&gt;=15,G10&lt;=15.9),AND(G10&gt;=17,G10&lt;=17.9),AND(G10&gt;=19,G10&lt;=19.9),AND(G10&gt;=21,G10&lt;=21.9),AND(G10&gt;=23,G10&lt;=23.9),AND(G10&gt;=25,G10&lt;=25.9),AND(G10&gt;=27,G10&lt;=27.9),AND(G10&gt;=29,G10&lt;=29.9),AND(G10&gt;=31,G10&lt;=31.9),AND(G10&gt;=33,G10&lt;=33.9),AND(G10&gt;=35,G10&lt;=35.9),AND(G10&gt;=43,G10&lt;=43.9)),1,0)</f>
        <v>0</v>
      </c>
      <c r="F21" s="632">
        <v>96</v>
      </c>
      <c r="G21" s="20">
        <f>E21*F21</f>
        <v>0</v>
      </c>
      <c r="H21" s="59">
        <f>E21</f>
        <v>0</v>
      </c>
      <c r="I21" s="85">
        <f>E21*1000</f>
        <v>0</v>
      </c>
      <c r="J21" s="4"/>
      <c r="K21" s="4"/>
      <c r="L21" s="4"/>
      <c r="M21" s="4"/>
      <c r="N21" s="4"/>
      <c r="O21" s="4"/>
      <c r="P21" s="4"/>
      <c r="Q21" s="4"/>
      <c r="R21" s="4"/>
      <c r="S21" s="4"/>
      <c r="T21" s="4"/>
      <c r="U21" s="4"/>
      <c r="V21" s="4"/>
      <c r="W21" s="4"/>
    </row>
    <row r="22" spans="1:23" ht="16.05" customHeight="1" thickTop="1" thickBot="1" x14ac:dyDescent="0.25">
      <c r="A22" s="16"/>
      <c r="B22" s="51">
        <v>210802</v>
      </c>
      <c r="C22" s="18" t="s">
        <v>405</v>
      </c>
      <c r="D22" s="19" t="s">
        <v>10</v>
      </c>
      <c r="E22" s="19">
        <f>IF(OR(AND(G10&gt;=8,G10&lt;=8.9),AND(G10&gt;=13,G10&lt;=13.9),AND(G10&gt;=18,G10&lt;=18.9),AND(G10&gt;=28,G10&lt;=28.9),AND(G10&gt;=33,G10&lt;=33.9),AND(G10&gt;=38,G10&lt;=38.9),AND(G10&gt;=48,G10&lt;=48.9)),1,IF(OR(AND(G10&gt;=16,G10&lt;=16.9),AND(G10&gt;=21,G10&lt;=21.9),AND(G10&gt;=23,G10&lt;=23.9),AND(G10&gt;=26,G10&lt;=26.9),AND(G10&gt;=31,G10&lt;=31.9),AND(G10&gt;=36,G10&lt;=37.9),AND(G10&gt;=46,G10&lt;=46.9)),2,IF(OR(AND(G10&gt;=24,G10&lt;=24.9),AND(G10&gt;=29,G10&lt;=29.9),AND(G10&gt;=34,G10&lt;=34.9),AND(G10&gt;=44,G10&lt;=45.9)),3,0)))</f>
        <v>0</v>
      </c>
      <c r="F22" s="632">
        <v>166</v>
      </c>
      <c r="G22" s="20">
        <f>E22*F22</f>
        <v>0</v>
      </c>
      <c r="H22" s="59">
        <f>E22</f>
        <v>0</v>
      </c>
      <c r="I22" s="85">
        <f>E22*1600</f>
        <v>0</v>
      </c>
      <c r="J22" s="4"/>
      <c r="K22" s="4"/>
      <c r="L22" s="4"/>
      <c r="M22" s="4"/>
      <c r="N22" s="4"/>
      <c r="O22" s="4"/>
      <c r="P22" s="4"/>
      <c r="Q22" s="4"/>
      <c r="R22" s="4"/>
      <c r="S22" s="4"/>
      <c r="T22" s="4"/>
      <c r="U22" s="4"/>
      <c r="V22" s="4"/>
      <c r="W22" s="4"/>
    </row>
    <row r="23" spans="1:23" ht="16.05" customHeight="1" thickTop="1" thickBot="1" x14ac:dyDescent="0.25">
      <c r="A23" s="16"/>
      <c r="B23" s="51">
        <v>211002</v>
      </c>
      <c r="C23" s="18" t="s">
        <v>406</v>
      </c>
      <c r="D23" s="19" t="s">
        <v>10</v>
      </c>
      <c r="E23" s="19">
        <f>IF(OR(AND(G10&gt;=10,G10&lt;=12.9),AND(G10&gt;=14,G10&lt;=15.9),AND(G10&gt;=17,G10&lt;=19.9),AND(G10&gt;=26,G10&lt;=26.9),AND(G10&gt;=31,G10&lt;=31.9),AND(G10&gt;=34,G10&lt;=34.9)),1,IF(OR(AND(G10&gt;=20,G10&lt;=20.9),AND(G10&gt;=22,G10&lt;=22.9),AND(G10&gt;=25,G10&lt;=25.9),AND(G10&gt;=27,G10&lt;=28.9),AND(G10&gt;=33,G10&lt;=33.9),AND(G10&gt;=44,G10&lt;=45.9)),2,IF(OR(AND(G10&gt;=30,G10&lt;=30.9),AND(G10&gt;=32,G10&lt;=32.9),AND(G10&gt;=35,G10&lt;=35.9),AND(G10&gt;=38,G10&lt;=38.9),AND(G10&gt;=43,G10&lt;=43.9),AND(G10&gt;=46,G10&lt;=46.9)),3,IF(OR(AND(G10&gt;=40,G10&lt;=42.9),AND(G10&gt;=48,G10&lt;=48.9)),4,IF(OR(AND(G10&gt;=50,G10&lt;=51)),5,0)))))</f>
        <v>0</v>
      </c>
      <c r="F23" s="632">
        <v>180</v>
      </c>
      <c r="G23" s="20">
        <f>E23*F23</f>
        <v>0</v>
      </c>
      <c r="H23" s="59">
        <f>E23</f>
        <v>0</v>
      </c>
      <c r="I23" s="85">
        <f>E23*2000</f>
        <v>0</v>
      </c>
      <c r="J23" s="4"/>
      <c r="K23" s="4"/>
      <c r="L23" s="4"/>
      <c r="M23" s="4"/>
      <c r="N23" s="4"/>
      <c r="O23" s="4"/>
      <c r="P23" s="4"/>
      <c r="Q23" s="4"/>
      <c r="R23" s="4"/>
      <c r="S23" s="4"/>
      <c r="T23" s="4"/>
      <c r="U23" s="4"/>
      <c r="V23" s="4"/>
      <c r="W23" s="4"/>
    </row>
    <row r="24" spans="1:23" ht="16.05" customHeight="1" thickTop="1" thickBot="1" x14ac:dyDescent="0.25">
      <c r="A24" s="784" t="s">
        <v>40</v>
      </c>
      <c r="B24" s="813"/>
      <c r="C24" s="813"/>
      <c r="D24" s="813"/>
      <c r="E24" s="813"/>
      <c r="F24" s="813"/>
      <c r="G24" s="12"/>
      <c r="H24" s="59">
        <f>SUM(H25:H34)</f>
        <v>0</v>
      </c>
      <c r="I24" s="546"/>
      <c r="J24" s="4"/>
      <c r="K24" s="4"/>
      <c r="L24" s="4"/>
      <c r="M24" s="4"/>
      <c r="N24" s="4"/>
      <c r="O24" s="4" t="s">
        <v>14</v>
      </c>
      <c r="P24" s="4"/>
      <c r="Q24" s="4"/>
      <c r="R24" s="4"/>
      <c r="S24" s="4"/>
      <c r="T24" s="4"/>
      <c r="U24" s="4"/>
      <c r="V24" s="4"/>
      <c r="W24" s="4"/>
    </row>
    <row r="25" spans="1:23" ht="16.05" customHeight="1" thickTop="1" thickBot="1" x14ac:dyDescent="0.25">
      <c r="A25" s="16"/>
      <c r="B25" s="21" t="s">
        <v>37</v>
      </c>
      <c r="C25" s="22" t="s">
        <v>425</v>
      </c>
      <c r="D25" s="16" t="s">
        <v>10</v>
      </c>
      <c r="E25" s="16">
        <f>IF(D13="x", 1, 0)</f>
        <v>0</v>
      </c>
      <c r="F25" s="633">
        <v>242</v>
      </c>
      <c r="G25" s="20">
        <f t="shared" ref="G25:G34" si="0">E25*F25</f>
        <v>0</v>
      </c>
      <c r="H25" s="59">
        <f>E25</f>
        <v>0</v>
      </c>
      <c r="J25" s="4"/>
    </row>
    <row r="26" spans="1:23" ht="16.05" customHeight="1" thickTop="1" thickBot="1" x14ac:dyDescent="0.25">
      <c r="A26" s="16"/>
      <c r="B26" s="21" t="s">
        <v>38</v>
      </c>
      <c r="C26" s="22" t="s">
        <v>292</v>
      </c>
      <c r="D26" s="16" t="s">
        <v>10</v>
      </c>
      <c r="E26" s="16">
        <f>IF(D12="x", 1, 0)</f>
        <v>0</v>
      </c>
      <c r="F26" s="633">
        <v>125</v>
      </c>
      <c r="G26" s="20">
        <f t="shared" si="0"/>
        <v>0</v>
      </c>
      <c r="H26" s="59">
        <f t="shared" ref="H26:H34" si="1">E26</f>
        <v>0</v>
      </c>
      <c r="J26" s="4"/>
    </row>
    <row r="27" spans="1:23" ht="16.05" customHeight="1" thickTop="1" thickBot="1" x14ac:dyDescent="0.25">
      <c r="A27" s="16"/>
      <c r="B27" s="21" t="s">
        <v>39</v>
      </c>
      <c r="C27" s="22" t="s">
        <v>426</v>
      </c>
      <c r="D27" s="16" t="s">
        <v>10</v>
      </c>
      <c r="E27" s="16">
        <f>IF(D12="x", 1, IF(D13="x", 2, 0))</f>
        <v>0</v>
      </c>
      <c r="F27" s="633">
        <v>191</v>
      </c>
      <c r="G27" s="20">
        <f t="shared" si="0"/>
        <v>0</v>
      </c>
      <c r="H27" s="59">
        <f t="shared" si="1"/>
        <v>0</v>
      </c>
      <c r="J27" s="4"/>
    </row>
    <row r="28" spans="1:23" ht="25.95" customHeight="1" thickTop="1" thickBot="1" x14ac:dyDescent="0.25">
      <c r="A28" s="16"/>
      <c r="B28" s="21" t="s">
        <v>432</v>
      </c>
      <c r="C28" s="22" t="s">
        <v>433</v>
      </c>
      <c r="D28" s="16" t="s">
        <v>10</v>
      </c>
      <c r="E28" s="16">
        <f>IF(D12="x", 1, 0)</f>
        <v>0</v>
      </c>
      <c r="F28" s="633">
        <v>243</v>
      </c>
      <c r="G28" s="20">
        <f t="shared" si="0"/>
        <v>0</v>
      </c>
      <c r="H28" s="59">
        <f t="shared" si="1"/>
        <v>0</v>
      </c>
      <c r="J28" s="4"/>
      <c r="M28" s="439"/>
      <c r="N28" s="59"/>
    </row>
    <row r="29" spans="1:23" ht="27" customHeight="1" thickTop="1" thickBot="1" x14ac:dyDescent="0.25">
      <c r="A29" s="16"/>
      <c r="B29" s="23">
        <v>892551</v>
      </c>
      <c r="C29" s="62" t="s">
        <v>193</v>
      </c>
      <c r="D29" s="24" t="s">
        <v>10</v>
      </c>
      <c r="E29" s="25">
        <f>IF(D11="x", 1, 0)</f>
        <v>0</v>
      </c>
      <c r="F29" s="633">
        <v>106</v>
      </c>
      <c r="G29" s="20">
        <f t="shared" si="0"/>
        <v>0</v>
      </c>
      <c r="H29" s="59">
        <f t="shared" si="1"/>
        <v>0</v>
      </c>
      <c r="J29" s="4"/>
    </row>
    <row r="30" spans="1:23" ht="16.05" customHeight="1" thickTop="1" thickBot="1" x14ac:dyDescent="0.25">
      <c r="A30" s="16"/>
      <c r="B30" s="72">
        <v>891551</v>
      </c>
      <c r="C30" s="18" t="s">
        <v>144</v>
      </c>
      <c r="D30" s="24" t="s">
        <v>10</v>
      </c>
      <c r="E30" s="71"/>
      <c r="F30" s="633">
        <v>91</v>
      </c>
      <c r="G30" s="20">
        <f t="shared" si="0"/>
        <v>0</v>
      </c>
      <c r="H30" s="59">
        <f t="shared" si="1"/>
        <v>0</v>
      </c>
      <c r="J30" s="4"/>
    </row>
    <row r="31" spans="1:23" ht="16.05" customHeight="1" thickTop="1" thickBot="1" x14ac:dyDescent="0.25">
      <c r="A31" s="16"/>
      <c r="B31" s="21">
        <v>860199</v>
      </c>
      <c r="C31" s="570" t="s">
        <v>164</v>
      </c>
      <c r="D31" s="24" t="s">
        <v>10</v>
      </c>
      <c r="E31" s="71"/>
      <c r="F31" s="633">
        <v>13</v>
      </c>
      <c r="G31" s="20">
        <f t="shared" si="0"/>
        <v>0</v>
      </c>
      <c r="H31" s="59">
        <f t="shared" si="1"/>
        <v>0</v>
      </c>
      <c r="J31" s="4"/>
      <c r="W31" s="58"/>
    </row>
    <row r="32" spans="1:23" ht="16.05" customHeight="1" thickTop="1" thickBot="1" x14ac:dyDescent="0.25">
      <c r="A32" s="16"/>
      <c r="B32" s="21">
        <v>890065</v>
      </c>
      <c r="C32" s="22" t="s">
        <v>80</v>
      </c>
      <c r="D32" s="16" t="s">
        <v>10</v>
      </c>
      <c r="E32" s="16"/>
      <c r="F32" s="633">
        <v>261</v>
      </c>
      <c r="G32" s="20">
        <f t="shared" si="0"/>
        <v>0</v>
      </c>
      <c r="H32" s="59">
        <f t="shared" si="1"/>
        <v>0</v>
      </c>
      <c r="J32" s="4"/>
    </row>
    <row r="33" spans="1:24" ht="16.05" customHeight="1" thickTop="1" thickBot="1" x14ac:dyDescent="0.25">
      <c r="A33" s="16"/>
      <c r="B33" s="72">
        <v>900056</v>
      </c>
      <c r="C33" s="18" t="s">
        <v>427</v>
      </c>
      <c r="D33" s="16" t="s">
        <v>10</v>
      </c>
      <c r="E33" s="16"/>
      <c r="F33" s="633">
        <v>221</v>
      </c>
      <c r="G33" s="20">
        <f t="shared" si="0"/>
        <v>0</v>
      </c>
      <c r="H33" s="59">
        <f t="shared" si="1"/>
        <v>0</v>
      </c>
      <c r="J33" s="4"/>
    </row>
    <row r="34" spans="1:24" ht="16.05" customHeight="1" thickTop="1" thickBot="1" x14ac:dyDescent="0.25">
      <c r="A34" s="16"/>
      <c r="B34" s="21">
        <v>893550</v>
      </c>
      <c r="C34" s="18" t="s">
        <v>436</v>
      </c>
      <c r="D34" s="16" t="s">
        <v>10</v>
      </c>
      <c r="E34" s="16"/>
      <c r="F34" s="633">
        <v>324</v>
      </c>
      <c r="G34" s="20">
        <f t="shared" si="0"/>
        <v>0</v>
      </c>
      <c r="H34" s="59">
        <f t="shared" si="1"/>
        <v>0</v>
      </c>
      <c r="J34" s="4"/>
    </row>
    <row r="35" spans="1:24" ht="16.05" customHeight="1" thickTop="1" thickBot="1" x14ac:dyDescent="0.25">
      <c r="A35" s="805" t="s">
        <v>18</v>
      </c>
      <c r="B35" s="806"/>
      <c r="C35" s="806"/>
      <c r="D35" s="806"/>
      <c r="E35" s="806"/>
      <c r="F35" s="806"/>
      <c r="G35" s="82">
        <f>SUM(G20:G34)</f>
        <v>0</v>
      </c>
    </row>
    <row r="36" spans="1:24" ht="16.05" customHeight="1" thickTop="1" thickBot="1" x14ac:dyDescent="0.25">
      <c r="A36" s="47">
        <v>0</v>
      </c>
      <c r="B36" s="744" t="s">
        <v>70</v>
      </c>
      <c r="C36" s="807"/>
      <c r="D36" s="807"/>
      <c r="E36" s="807"/>
      <c r="F36" s="807"/>
      <c r="G36" s="77">
        <f>G35*(1-A36)</f>
        <v>0</v>
      </c>
    </row>
    <row r="37" spans="1:24" ht="16.05" customHeight="1" thickTop="1" thickBot="1" x14ac:dyDescent="0.25">
      <c r="A37" s="30" t="s">
        <v>19</v>
      </c>
      <c r="B37" s="31"/>
      <c r="C37" s="31"/>
      <c r="D37" s="31"/>
      <c r="E37" s="31"/>
      <c r="F37" s="32"/>
      <c r="G37" s="83">
        <f>G36*1.21</f>
        <v>0</v>
      </c>
    </row>
    <row r="38" spans="1:24" ht="16.05" customHeight="1" thickTop="1" x14ac:dyDescent="0.2">
      <c r="A38" s="2"/>
      <c r="B38" s="49"/>
      <c r="C38" s="49"/>
      <c r="D38" s="49"/>
      <c r="E38" s="49"/>
      <c r="F38" s="49"/>
      <c r="G38" s="52"/>
    </row>
    <row r="39" spans="1:24" ht="26.25" customHeight="1" x14ac:dyDescent="0.2">
      <c r="A39" s="732" t="s">
        <v>20</v>
      </c>
      <c r="B39" s="763"/>
      <c r="C39" s="763"/>
      <c r="D39" s="763"/>
      <c r="E39" s="763"/>
      <c r="F39" s="763"/>
      <c r="G39" s="763"/>
    </row>
    <row r="40" spans="1:24" ht="27" customHeight="1" x14ac:dyDescent="0.3">
      <c r="A40" s="733" t="s">
        <v>141</v>
      </c>
      <c r="B40" s="748"/>
      <c r="C40" s="748"/>
      <c r="D40" s="748"/>
      <c r="E40" s="748"/>
      <c r="F40" s="748"/>
      <c r="G40" s="748"/>
    </row>
    <row r="41" spans="1:24" ht="15" customHeight="1" x14ac:dyDescent="0.3">
      <c r="A41" s="733" t="s">
        <v>461</v>
      </c>
      <c r="B41" s="748"/>
      <c r="C41" s="748"/>
      <c r="D41" s="70">
        <f>SUM(I20:I23)/1000</f>
        <v>0</v>
      </c>
      <c r="E41" s="67"/>
      <c r="F41" s="67"/>
      <c r="G41" s="67"/>
    </row>
    <row r="42" spans="1:24" ht="16.05" customHeight="1" x14ac:dyDescent="0.2"/>
    <row r="43" spans="1:24" ht="16.05" customHeight="1" x14ac:dyDescent="0.2">
      <c r="A43" s="2" t="s">
        <v>21</v>
      </c>
      <c r="B43" s="3"/>
      <c r="C43" s="3"/>
      <c r="D43" s="3"/>
      <c r="E43" s="3"/>
      <c r="F43" s="3"/>
      <c r="G43" s="3"/>
    </row>
    <row r="44" spans="1:24" ht="16.05" customHeight="1" x14ac:dyDescent="0.2">
      <c r="A44" s="732" t="s">
        <v>142</v>
      </c>
      <c r="B44" s="763"/>
      <c r="C44" s="763"/>
      <c r="D44" s="763"/>
      <c r="E44" s="763"/>
      <c r="F44" s="763"/>
      <c r="G44" s="763"/>
    </row>
    <row r="45" spans="1:24" ht="16.05" customHeight="1" x14ac:dyDescent="0.3">
      <c r="A45" s="732" t="s">
        <v>22</v>
      </c>
      <c r="B45" s="740"/>
      <c r="C45" s="740"/>
      <c r="D45" s="740"/>
      <c r="E45" s="740"/>
      <c r="F45" s="740"/>
      <c r="G45" s="740"/>
    </row>
    <row r="46" spans="1:24" ht="16.05" customHeight="1" x14ac:dyDescent="0.2">
      <c r="A46" s="732" t="s">
        <v>23</v>
      </c>
      <c r="B46" s="763"/>
      <c r="C46" s="763"/>
      <c r="D46" s="763"/>
      <c r="E46" s="763"/>
      <c r="F46" s="763"/>
      <c r="G46" s="763"/>
    </row>
    <row r="47" spans="1:24" ht="16.05" customHeight="1" x14ac:dyDescent="0.3">
      <c r="A47" s="732"/>
      <c r="B47" s="740"/>
      <c r="C47" s="740"/>
      <c r="D47" s="740"/>
      <c r="E47" s="740"/>
      <c r="F47" s="740"/>
      <c r="G47" s="740"/>
    </row>
    <row r="48" spans="1:24" ht="16.05" customHeight="1" x14ac:dyDescent="0.3">
      <c r="A48" s="66"/>
      <c r="B48"/>
      <c r="C48"/>
      <c r="D48"/>
      <c r="E48"/>
      <c r="F48"/>
      <c r="G48"/>
      <c r="U48" s="58"/>
      <c r="V48" s="58"/>
      <c r="W48" s="58"/>
      <c r="X48" s="58"/>
    </row>
    <row r="49" spans="1:24" ht="16.05" customHeight="1" x14ac:dyDescent="0.3">
      <c r="B49" s="1" t="s">
        <v>11</v>
      </c>
      <c r="C49" s="2"/>
      <c r="D49"/>
      <c r="E49"/>
      <c r="F49"/>
      <c r="G49"/>
    </row>
    <row r="50" spans="1:24" ht="16.05" customHeight="1" x14ac:dyDescent="0.3">
      <c r="B50" s="749"/>
      <c r="C50" s="750"/>
      <c r="D50"/>
      <c r="E50"/>
      <c r="F50"/>
      <c r="G50"/>
    </row>
    <row r="51" spans="1:24" ht="16.05" customHeight="1" x14ac:dyDescent="0.3">
      <c r="B51" s="749"/>
      <c r="C51" s="750"/>
      <c r="D51"/>
      <c r="E51"/>
      <c r="F51"/>
      <c r="G51"/>
      <c r="I51" s="587"/>
      <c r="J51" s="587"/>
      <c r="K51" s="587"/>
      <c r="L51" s="587"/>
      <c r="M51" s="587"/>
      <c r="N51" s="587"/>
      <c r="O51" s="587"/>
      <c r="P51" s="587"/>
      <c r="Q51" s="587"/>
      <c r="R51" s="587"/>
      <c r="S51" s="587"/>
      <c r="T51" s="587"/>
      <c r="U51" s="587"/>
      <c r="V51" s="587"/>
    </row>
    <row r="52" spans="1:24" ht="16.05" customHeight="1" x14ac:dyDescent="0.3">
      <c r="B52" s="76"/>
      <c r="D52"/>
      <c r="E52"/>
      <c r="F52"/>
      <c r="G52"/>
      <c r="I52" s="587"/>
      <c r="J52" s="587"/>
      <c r="K52" s="587"/>
      <c r="L52" s="587"/>
      <c r="M52" s="587"/>
      <c r="N52" s="587"/>
      <c r="O52" s="587"/>
      <c r="P52" s="587"/>
      <c r="Q52" s="587"/>
      <c r="R52" s="587"/>
      <c r="S52" s="587"/>
      <c r="T52" s="587"/>
      <c r="U52" s="587"/>
      <c r="V52" s="587"/>
    </row>
    <row r="53" spans="1:24" ht="15.45" customHeight="1" x14ac:dyDescent="0.3">
      <c r="B53" s="76" t="s">
        <v>12</v>
      </c>
      <c r="D53"/>
      <c r="E53"/>
      <c r="F53"/>
      <c r="G53"/>
      <c r="I53" s="586" t="s">
        <v>98</v>
      </c>
      <c r="J53" s="586" t="s">
        <v>99</v>
      </c>
      <c r="K53" s="586" t="s">
        <v>100</v>
      </c>
      <c r="L53" s="586" t="s">
        <v>113</v>
      </c>
      <c r="M53" s="586" t="s">
        <v>160</v>
      </c>
      <c r="N53" s="586" t="s">
        <v>161</v>
      </c>
      <c r="O53" s="586" t="s">
        <v>101</v>
      </c>
      <c r="P53" s="586"/>
      <c r="Q53" s="587"/>
      <c r="R53" s="587"/>
      <c r="S53" s="587"/>
      <c r="T53" s="587"/>
      <c r="U53" s="587"/>
      <c r="V53" s="587"/>
    </row>
    <row r="54" spans="1:24" ht="12.75" customHeight="1" x14ac:dyDescent="0.3">
      <c r="D54"/>
      <c r="E54"/>
      <c r="F54"/>
      <c r="G54"/>
      <c r="I54" s="586">
        <v>1.8</v>
      </c>
      <c r="J54" s="586">
        <v>400</v>
      </c>
      <c r="K54" s="586"/>
      <c r="L54" s="586"/>
      <c r="M54" s="586"/>
      <c r="N54" s="586"/>
      <c r="O54" s="584">
        <f>J54+K54+L54+M54+N54</f>
        <v>400</v>
      </c>
      <c r="P54" s="598">
        <f t="shared" ref="P54:P85" si="2">O54/I54</f>
        <v>222.22222222222223</v>
      </c>
      <c r="Q54" s="587"/>
      <c r="R54" s="587"/>
      <c r="S54" s="587"/>
      <c r="T54" s="587"/>
      <c r="U54" s="587"/>
      <c r="V54" s="587"/>
    </row>
    <row r="55" spans="1:24" ht="12.75" customHeight="1" x14ac:dyDescent="0.3">
      <c r="D55"/>
      <c r="E55"/>
      <c r="F55"/>
      <c r="G55"/>
      <c r="I55" s="586">
        <v>2.5</v>
      </c>
      <c r="J55" s="586">
        <v>400</v>
      </c>
      <c r="K55" s="586"/>
      <c r="L55" s="586"/>
      <c r="M55" s="586"/>
      <c r="N55" s="586"/>
      <c r="O55" s="584">
        <f t="shared" ref="O55:O124" si="3">J55+K55+L55+M55+N55</f>
        <v>400</v>
      </c>
      <c r="P55" s="598">
        <f t="shared" si="2"/>
        <v>160</v>
      </c>
      <c r="Q55" s="587"/>
      <c r="R55" s="587"/>
      <c r="S55" s="587"/>
      <c r="T55" s="587"/>
      <c r="U55" s="587"/>
      <c r="V55" s="587"/>
    </row>
    <row r="56" spans="1:24" ht="12.75" customHeight="1" x14ac:dyDescent="0.3">
      <c r="D56"/>
      <c r="E56"/>
      <c r="F56"/>
      <c r="G56"/>
      <c r="I56" s="586">
        <v>4</v>
      </c>
      <c r="J56" s="586">
        <v>400</v>
      </c>
      <c r="K56" s="586">
        <v>400</v>
      </c>
      <c r="L56" s="586"/>
      <c r="M56" s="586"/>
      <c r="N56" s="586"/>
      <c r="O56" s="584">
        <f t="shared" si="3"/>
        <v>800</v>
      </c>
      <c r="P56" s="598">
        <f t="shared" si="2"/>
        <v>200</v>
      </c>
      <c r="Q56" s="587"/>
      <c r="R56" s="587"/>
      <c r="S56" s="587"/>
      <c r="T56" s="587"/>
      <c r="U56" s="584"/>
      <c r="V56" s="598"/>
      <c r="W56" s="27"/>
      <c r="X56" s="2"/>
    </row>
    <row r="57" spans="1:24" ht="12.75" customHeight="1" x14ac:dyDescent="0.2">
      <c r="A57" s="2"/>
      <c r="B57" s="49"/>
      <c r="C57" s="49"/>
      <c r="D57" s="49"/>
      <c r="E57" s="49"/>
      <c r="F57" s="49"/>
      <c r="G57" s="52"/>
      <c r="I57" s="586">
        <v>4.9000000000000004</v>
      </c>
      <c r="J57" s="586">
        <v>400</v>
      </c>
      <c r="K57" s="586">
        <v>400</v>
      </c>
      <c r="L57" s="586"/>
      <c r="M57" s="586"/>
      <c r="N57" s="586"/>
      <c r="O57" s="584">
        <f t="shared" si="3"/>
        <v>800</v>
      </c>
      <c r="P57" s="598">
        <f t="shared" si="2"/>
        <v>163.26530612244898</v>
      </c>
      <c r="Q57" s="602"/>
      <c r="R57" s="587"/>
      <c r="S57" s="587"/>
      <c r="T57" s="587"/>
      <c r="U57" s="584"/>
      <c r="V57" s="598"/>
      <c r="W57" s="59"/>
      <c r="X57" s="2"/>
    </row>
    <row r="58" spans="1:24" ht="12.75" customHeight="1" x14ac:dyDescent="0.2">
      <c r="A58" s="2"/>
      <c r="B58" s="49"/>
      <c r="C58" s="49"/>
      <c r="D58" s="49"/>
      <c r="E58" s="49"/>
      <c r="F58" s="49"/>
      <c r="G58" s="52"/>
      <c r="I58" s="586">
        <v>5</v>
      </c>
      <c r="J58" s="586">
        <v>1000</v>
      </c>
      <c r="K58" s="586"/>
      <c r="L58" s="586"/>
      <c r="M58" s="586"/>
      <c r="N58" s="586"/>
      <c r="O58" s="584">
        <f t="shared" si="3"/>
        <v>1000</v>
      </c>
      <c r="P58" s="598">
        <f t="shared" si="2"/>
        <v>200</v>
      </c>
      <c r="Q58" s="602"/>
      <c r="R58" s="587"/>
      <c r="S58" s="587"/>
      <c r="T58" s="587"/>
      <c r="U58" s="584"/>
      <c r="V58" s="602"/>
    </row>
    <row r="59" spans="1:24" ht="12.75" customHeight="1" x14ac:dyDescent="0.2">
      <c r="A59" s="2"/>
      <c r="B59" s="49"/>
      <c r="C59" s="49"/>
      <c r="D59" s="49"/>
      <c r="E59" s="49"/>
      <c r="F59" s="49"/>
      <c r="G59" s="52"/>
      <c r="I59" s="586">
        <v>5.9</v>
      </c>
      <c r="J59" s="586">
        <v>1000</v>
      </c>
      <c r="K59" s="586"/>
      <c r="L59" s="586"/>
      <c r="M59" s="586"/>
      <c r="N59" s="586"/>
      <c r="O59" s="584">
        <f t="shared" si="3"/>
        <v>1000</v>
      </c>
      <c r="P59" s="598">
        <f t="shared" si="2"/>
        <v>169.4915254237288</v>
      </c>
      <c r="Q59" s="602"/>
      <c r="R59" s="587"/>
      <c r="S59" s="587"/>
      <c r="T59" s="587"/>
      <c r="U59" s="584"/>
      <c r="V59" s="602"/>
      <c r="X59" s="27"/>
    </row>
    <row r="60" spans="1:24" ht="12.75" customHeight="1" x14ac:dyDescent="0.2">
      <c r="A60" s="733"/>
      <c r="B60" s="733"/>
      <c r="C60" s="733"/>
      <c r="D60" s="9"/>
      <c r="E60" s="48"/>
      <c r="F60" s="48"/>
      <c r="G60" s="48"/>
      <c r="I60" s="586">
        <v>6</v>
      </c>
      <c r="J60" s="586">
        <v>400</v>
      </c>
      <c r="K60" s="586">
        <v>400</v>
      </c>
      <c r="L60" s="586">
        <v>400</v>
      </c>
      <c r="M60" s="586"/>
      <c r="N60" s="586"/>
      <c r="O60" s="584">
        <f t="shared" si="3"/>
        <v>1200</v>
      </c>
      <c r="P60" s="598">
        <f t="shared" si="2"/>
        <v>200</v>
      </c>
      <c r="Q60" s="602"/>
      <c r="R60" s="587"/>
      <c r="S60" s="587"/>
      <c r="T60" s="587"/>
      <c r="U60" s="584"/>
      <c r="V60" s="602"/>
      <c r="X60" s="27"/>
    </row>
    <row r="61" spans="1:24" ht="12.75" customHeight="1" x14ac:dyDescent="0.2">
      <c r="A61" s="3"/>
      <c r="B61" s="3"/>
      <c r="C61" s="3"/>
      <c r="D61" s="9"/>
      <c r="E61" s="48"/>
      <c r="F61" s="48"/>
      <c r="G61" s="48"/>
      <c r="I61" s="586">
        <v>6.9</v>
      </c>
      <c r="J61" s="586">
        <v>400</v>
      </c>
      <c r="K61" s="586">
        <v>400</v>
      </c>
      <c r="L61" s="586">
        <v>400</v>
      </c>
      <c r="M61" s="586"/>
      <c r="N61" s="586"/>
      <c r="O61" s="584">
        <f t="shared" si="3"/>
        <v>1200</v>
      </c>
      <c r="P61" s="598">
        <f t="shared" si="2"/>
        <v>173.91304347826087</v>
      </c>
      <c r="Q61" s="602"/>
      <c r="R61" s="587"/>
      <c r="S61" s="587"/>
      <c r="T61" s="587"/>
      <c r="U61" s="584"/>
      <c r="V61" s="602"/>
      <c r="X61" s="27"/>
    </row>
    <row r="62" spans="1:24" ht="12.75" customHeight="1" x14ac:dyDescent="0.2">
      <c r="A62" s="3"/>
      <c r="B62" s="3"/>
      <c r="C62" s="3"/>
      <c r="D62" s="9"/>
      <c r="E62" s="48"/>
      <c r="F62" s="48"/>
      <c r="G62" s="48"/>
      <c r="I62" s="586">
        <v>7</v>
      </c>
      <c r="J62" s="586">
        <v>1000</v>
      </c>
      <c r="K62" s="586">
        <v>400</v>
      </c>
      <c r="L62" s="586"/>
      <c r="M62" s="586"/>
      <c r="N62" s="586"/>
      <c r="O62" s="584">
        <f t="shared" si="3"/>
        <v>1400</v>
      </c>
      <c r="P62" s="598">
        <f t="shared" si="2"/>
        <v>200</v>
      </c>
      <c r="Q62" s="602"/>
      <c r="R62" s="587"/>
      <c r="S62" s="587"/>
      <c r="T62" s="587"/>
      <c r="U62" s="584"/>
      <c r="V62" s="602"/>
      <c r="X62" s="61"/>
    </row>
    <row r="63" spans="1:24" ht="12.75" customHeight="1" x14ac:dyDescent="0.2">
      <c r="A63" s="733"/>
      <c r="B63" s="733"/>
      <c r="C63" s="733"/>
      <c r="D63" s="733"/>
      <c r="E63" s="733"/>
      <c r="F63" s="733"/>
      <c r="G63" s="733"/>
      <c r="I63" s="586">
        <v>7.9</v>
      </c>
      <c r="J63" s="586">
        <v>1000</v>
      </c>
      <c r="K63" s="586">
        <v>400</v>
      </c>
      <c r="L63" s="586"/>
      <c r="M63" s="586"/>
      <c r="N63" s="586"/>
      <c r="O63" s="584">
        <f t="shared" si="3"/>
        <v>1400</v>
      </c>
      <c r="P63" s="598">
        <f t="shared" si="2"/>
        <v>177.2151898734177</v>
      </c>
      <c r="Q63" s="587"/>
      <c r="R63" s="587"/>
      <c r="S63" s="587"/>
      <c r="T63" s="587"/>
      <c r="U63" s="584"/>
      <c r="V63" s="602"/>
      <c r="X63" s="61"/>
    </row>
    <row r="64" spans="1:24" ht="12.75" customHeight="1" x14ac:dyDescent="0.2">
      <c r="I64" s="586">
        <v>8</v>
      </c>
      <c r="J64" s="586">
        <v>1600</v>
      </c>
      <c r="K64" s="586"/>
      <c r="L64" s="586"/>
      <c r="M64" s="586"/>
      <c r="N64" s="586"/>
      <c r="O64" s="584">
        <f t="shared" si="3"/>
        <v>1600</v>
      </c>
      <c r="P64" s="598">
        <f t="shared" si="2"/>
        <v>200</v>
      </c>
      <c r="Q64" s="587"/>
      <c r="R64" s="587"/>
      <c r="S64" s="587"/>
      <c r="T64" s="587"/>
      <c r="U64" s="584"/>
      <c r="V64" s="598"/>
      <c r="X64" s="61"/>
    </row>
    <row r="65" spans="9:24" ht="12.75" customHeight="1" x14ac:dyDescent="0.2">
      <c r="I65" s="586">
        <v>8.9</v>
      </c>
      <c r="J65" s="586">
        <v>1600</v>
      </c>
      <c r="K65" s="586"/>
      <c r="L65" s="586"/>
      <c r="M65" s="586"/>
      <c r="N65" s="586"/>
      <c r="O65" s="584">
        <f t="shared" si="3"/>
        <v>1600</v>
      </c>
      <c r="P65" s="598">
        <f t="shared" si="2"/>
        <v>179.77528089887639</v>
      </c>
      <c r="Q65" s="587"/>
      <c r="R65" s="587"/>
      <c r="S65" s="587"/>
      <c r="T65" s="587"/>
      <c r="U65" s="584"/>
      <c r="V65" s="598"/>
      <c r="X65" s="61"/>
    </row>
    <row r="66" spans="9:24" ht="12.75" customHeight="1" x14ac:dyDescent="0.2">
      <c r="I66" s="586">
        <v>9</v>
      </c>
      <c r="J66" s="586">
        <v>1000</v>
      </c>
      <c r="K66" s="586">
        <v>400</v>
      </c>
      <c r="L66" s="586">
        <v>400</v>
      </c>
      <c r="M66" s="586"/>
      <c r="N66" s="586"/>
      <c r="O66" s="584">
        <f t="shared" si="3"/>
        <v>1800</v>
      </c>
      <c r="P66" s="598">
        <f t="shared" si="2"/>
        <v>200</v>
      </c>
      <c r="Q66" s="587"/>
      <c r="R66" s="587"/>
      <c r="S66" s="587"/>
      <c r="T66" s="587"/>
      <c r="U66" s="584"/>
      <c r="V66" s="598"/>
      <c r="X66" s="61"/>
    </row>
    <row r="67" spans="9:24" ht="12.75" customHeight="1" x14ac:dyDescent="0.2">
      <c r="I67" s="586">
        <v>9.9</v>
      </c>
      <c r="J67" s="586">
        <v>1000</v>
      </c>
      <c r="K67" s="586">
        <v>400</v>
      </c>
      <c r="L67" s="586">
        <v>400</v>
      </c>
      <c r="M67" s="586"/>
      <c r="N67" s="586"/>
      <c r="O67" s="584">
        <f t="shared" si="3"/>
        <v>1800</v>
      </c>
      <c r="P67" s="598">
        <f t="shared" si="2"/>
        <v>181.81818181818181</v>
      </c>
      <c r="Q67" s="587"/>
      <c r="R67" s="587"/>
      <c r="S67" s="587"/>
      <c r="T67" s="587"/>
      <c r="U67" s="584"/>
      <c r="V67" s="598"/>
      <c r="X67" s="61"/>
    </row>
    <row r="68" spans="9:24" ht="12.75" customHeight="1" x14ac:dyDescent="0.2">
      <c r="I68" s="586">
        <v>10</v>
      </c>
      <c r="J68" s="586">
        <v>2000</v>
      </c>
      <c r="K68" s="586"/>
      <c r="L68" s="586"/>
      <c r="M68" s="586"/>
      <c r="N68" s="586"/>
      <c r="O68" s="584">
        <f t="shared" si="3"/>
        <v>2000</v>
      </c>
      <c r="P68" s="598">
        <f t="shared" si="2"/>
        <v>200</v>
      </c>
      <c r="Q68" s="587"/>
      <c r="R68" s="587"/>
      <c r="S68" s="587"/>
      <c r="T68" s="587"/>
      <c r="U68" s="584"/>
      <c r="V68" s="598"/>
      <c r="X68" s="61"/>
    </row>
    <row r="69" spans="9:24" ht="12.75" customHeight="1" x14ac:dyDescent="0.2">
      <c r="I69" s="586">
        <v>11.9</v>
      </c>
      <c r="J69" s="586">
        <v>2000</v>
      </c>
      <c r="K69" s="586"/>
      <c r="L69" s="586"/>
      <c r="M69" s="586"/>
      <c r="N69" s="586"/>
      <c r="O69" s="584">
        <f t="shared" si="3"/>
        <v>2000</v>
      </c>
      <c r="P69" s="598">
        <f t="shared" si="2"/>
        <v>168.0672268907563</v>
      </c>
      <c r="Q69" s="587"/>
      <c r="R69" s="587"/>
      <c r="S69" s="587"/>
      <c r="T69" s="587"/>
      <c r="U69" s="584"/>
      <c r="V69" s="598"/>
      <c r="X69" s="61"/>
    </row>
    <row r="70" spans="9:24" ht="12.75" customHeight="1" x14ac:dyDescent="0.2">
      <c r="I70" s="586">
        <v>12</v>
      </c>
      <c r="J70" s="586">
        <v>2000</v>
      </c>
      <c r="K70" s="586">
        <v>400</v>
      </c>
      <c r="L70" s="586"/>
      <c r="M70" s="586"/>
      <c r="N70" s="586"/>
      <c r="O70" s="584">
        <f t="shared" si="3"/>
        <v>2400</v>
      </c>
      <c r="P70" s="598">
        <f t="shared" si="2"/>
        <v>200</v>
      </c>
      <c r="Q70" s="587"/>
      <c r="R70" s="587"/>
      <c r="S70" s="587"/>
      <c r="T70" s="587"/>
      <c r="U70" s="584"/>
      <c r="V70" s="598"/>
      <c r="X70" s="61"/>
    </row>
    <row r="71" spans="9:24" ht="12.75" customHeight="1" x14ac:dyDescent="0.2">
      <c r="I71" s="586">
        <v>12.9</v>
      </c>
      <c r="J71" s="586">
        <v>2000</v>
      </c>
      <c r="K71" s="586">
        <v>400</v>
      </c>
      <c r="L71" s="586"/>
      <c r="M71" s="586"/>
      <c r="N71" s="586"/>
      <c r="O71" s="584">
        <f t="shared" si="3"/>
        <v>2400</v>
      </c>
      <c r="P71" s="598">
        <f t="shared" si="2"/>
        <v>186.04651162790697</v>
      </c>
      <c r="Q71" s="587"/>
      <c r="R71" s="587"/>
      <c r="S71" s="587"/>
      <c r="T71" s="587"/>
      <c r="U71" s="584"/>
      <c r="V71" s="598"/>
      <c r="X71" s="61"/>
    </row>
    <row r="72" spans="9:24" ht="12.75" customHeight="1" x14ac:dyDescent="0.2">
      <c r="I72" s="586">
        <v>13</v>
      </c>
      <c r="J72" s="586">
        <v>1600</v>
      </c>
      <c r="K72" s="586">
        <v>1000</v>
      </c>
      <c r="L72" s="586"/>
      <c r="M72" s="586"/>
      <c r="N72" s="586"/>
      <c r="O72" s="584">
        <f t="shared" si="3"/>
        <v>2600</v>
      </c>
      <c r="P72" s="598">
        <f t="shared" si="2"/>
        <v>200</v>
      </c>
      <c r="Q72" s="587"/>
      <c r="R72" s="587"/>
      <c r="S72" s="587"/>
      <c r="T72" s="587"/>
      <c r="U72" s="584"/>
      <c r="V72" s="598"/>
      <c r="X72" s="61"/>
    </row>
    <row r="73" spans="9:24" ht="12.75" customHeight="1" x14ac:dyDescent="0.2">
      <c r="I73" s="586">
        <v>13.9</v>
      </c>
      <c r="J73" s="586">
        <v>1600</v>
      </c>
      <c r="K73" s="586">
        <v>1000</v>
      </c>
      <c r="L73" s="586"/>
      <c r="M73" s="586"/>
      <c r="N73" s="586"/>
      <c r="O73" s="584">
        <f t="shared" si="3"/>
        <v>2600</v>
      </c>
      <c r="P73" s="598">
        <f t="shared" si="2"/>
        <v>187.0503597122302</v>
      </c>
      <c r="Q73" s="587"/>
      <c r="R73" s="587"/>
      <c r="S73" s="587"/>
      <c r="T73" s="587"/>
      <c r="U73" s="584"/>
      <c r="V73" s="598"/>
      <c r="X73" s="61"/>
    </row>
    <row r="74" spans="9:24" ht="12.75" customHeight="1" x14ac:dyDescent="0.2">
      <c r="I74" s="586">
        <v>14</v>
      </c>
      <c r="J74" s="586">
        <v>2000</v>
      </c>
      <c r="K74" s="586">
        <v>400</v>
      </c>
      <c r="L74" s="586">
        <v>400</v>
      </c>
      <c r="M74" s="586"/>
      <c r="N74" s="586"/>
      <c r="O74" s="584">
        <f t="shared" si="3"/>
        <v>2800</v>
      </c>
      <c r="P74" s="598">
        <f t="shared" si="2"/>
        <v>200</v>
      </c>
      <c r="Q74" s="587"/>
      <c r="R74" s="587"/>
      <c r="S74" s="587"/>
      <c r="T74" s="587"/>
      <c r="U74" s="584"/>
      <c r="V74" s="598"/>
      <c r="X74" s="61"/>
    </row>
    <row r="75" spans="9:24" ht="12.75" customHeight="1" x14ac:dyDescent="0.2">
      <c r="I75" s="586">
        <v>14.9</v>
      </c>
      <c r="J75" s="586">
        <v>2000</v>
      </c>
      <c r="K75" s="586">
        <v>400</v>
      </c>
      <c r="L75" s="586">
        <v>400</v>
      </c>
      <c r="M75" s="586"/>
      <c r="N75" s="586"/>
      <c r="O75" s="584">
        <f t="shared" si="3"/>
        <v>2800</v>
      </c>
      <c r="P75" s="598">
        <f t="shared" si="2"/>
        <v>187.91946308724832</v>
      </c>
      <c r="Q75" s="587"/>
      <c r="R75" s="587"/>
      <c r="S75" s="587"/>
      <c r="T75" s="587"/>
      <c r="U75" s="584"/>
      <c r="V75" s="598"/>
    </row>
    <row r="76" spans="9:24" ht="12.75" customHeight="1" x14ac:dyDescent="0.2">
      <c r="I76" s="586">
        <v>15</v>
      </c>
      <c r="J76" s="586">
        <v>2000</v>
      </c>
      <c r="K76" s="586">
        <v>1000</v>
      </c>
      <c r="L76" s="586"/>
      <c r="M76" s="586"/>
      <c r="N76" s="586"/>
      <c r="O76" s="584">
        <f t="shared" si="3"/>
        <v>3000</v>
      </c>
      <c r="P76" s="598">
        <f t="shared" si="2"/>
        <v>200</v>
      </c>
      <c r="Q76" s="587"/>
      <c r="R76" s="587"/>
      <c r="S76" s="587"/>
      <c r="T76" s="587"/>
      <c r="U76" s="584"/>
      <c r="V76" s="598"/>
    </row>
    <row r="77" spans="9:24" ht="12.75" customHeight="1" x14ac:dyDescent="0.2">
      <c r="I77" s="586">
        <v>15.9</v>
      </c>
      <c r="J77" s="586">
        <v>2000</v>
      </c>
      <c r="K77" s="586">
        <v>1000</v>
      </c>
      <c r="L77" s="586"/>
      <c r="M77" s="586"/>
      <c r="N77" s="586"/>
      <c r="O77" s="584">
        <f t="shared" si="3"/>
        <v>3000</v>
      </c>
      <c r="P77" s="598">
        <f t="shared" si="2"/>
        <v>188.67924528301887</v>
      </c>
      <c r="Q77" s="587"/>
      <c r="R77" s="587"/>
      <c r="S77" s="587"/>
      <c r="T77" s="587"/>
      <c r="U77" s="584"/>
      <c r="V77" s="598"/>
      <c r="W77" s="63"/>
    </row>
    <row r="78" spans="9:24" ht="12.75" customHeight="1" x14ac:dyDescent="0.2">
      <c r="I78" s="586">
        <v>16</v>
      </c>
      <c r="J78" s="584">
        <v>1600</v>
      </c>
      <c r="K78" s="584">
        <v>1600</v>
      </c>
      <c r="L78" s="584"/>
      <c r="M78" s="584"/>
      <c r="N78" s="584"/>
      <c r="O78" s="584">
        <f t="shared" si="3"/>
        <v>3200</v>
      </c>
      <c r="P78" s="598">
        <f t="shared" si="2"/>
        <v>200</v>
      </c>
      <c r="Q78" s="587"/>
      <c r="R78" s="587"/>
      <c r="S78" s="587"/>
      <c r="T78" s="587"/>
      <c r="U78" s="584"/>
      <c r="V78" s="598"/>
    </row>
    <row r="79" spans="9:24" ht="12.75" customHeight="1" x14ac:dyDescent="0.2">
      <c r="I79" s="586">
        <v>16.899999999999999</v>
      </c>
      <c r="J79" s="584">
        <v>1600</v>
      </c>
      <c r="K79" s="584">
        <v>1600</v>
      </c>
      <c r="L79" s="584"/>
      <c r="M79" s="584"/>
      <c r="N79" s="584"/>
      <c r="O79" s="584">
        <f t="shared" si="3"/>
        <v>3200</v>
      </c>
      <c r="P79" s="598">
        <f t="shared" si="2"/>
        <v>189.34911242603553</v>
      </c>
      <c r="Q79" s="587"/>
      <c r="R79" s="587"/>
      <c r="S79" s="587"/>
      <c r="T79" s="587"/>
      <c r="U79" s="584"/>
      <c r="V79" s="598"/>
    </row>
    <row r="80" spans="9:24" ht="12.75" customHeight="1" x14ac:dyDescent="0.2">
      <c r="I80" s="586">
        <v>17</v>
      </c>
      <c r="J80" s="584">
        <v>2000</v>
      </c>
      <c r="K80" s="584">
        <v>1000</v>
      </c>
      <c r="L80" s="584">
        <v>400</v>
      </c>
      <c r="M80" s="584"/>
      <c r="N80" s="584"/>
      <c r="O80" s="584">
        <f t="shared" si="3"/>
        <v>3400</v>
      </c>
      <c r="P80" s="598">
        <f t="shared" si="2"/>
        <v>200</v>
      </c>
      <c r="Q80" s="587"/>
      <c r="R80" s="587"/>
      <c r="S80" s="587"/>
      <c r="T80" s="587"/>
      <c r="U80" s="584"/>
      <c r="V80" s="598"/>
    </row>
    <row r="81" spans="1:22" ht="12.75" customHeight="1" x14ac:dyDescent="0.2">
      <c r="A81" s="811" t="s">
        <v>102</v>
      </c>
      <c r="B81" s="811"/>
      <c r="C81" s="811"/>
      <c r="D81" s="811"/>
      <c r="E81" s="811"/>
      <c r="F81" s="811"/>
      <c r="G81" s="811"/>
      <c r="I81" s="586">
        <v>17.899999999999999</v>
      </c>
      <c r="J81" s="584">
        <v>2000</v>
      </c>
      <c r="K81" s="584">
        <v>1000</v>
      </c>
      <c r="L81" s="584">
        <v>400</v>
      </c>
      <c r="M81" s="584"/>
      <c r="N81" s="584"/>
      <c r="O81" s="584">
        <f t="shared" si="3"/>
        <v>3400</v>
      </c>
      <c r="P81" s="598">
        <f t="shared" si="2"/>
        <v>189.9441340782123</v>
      </c>
      <c r="Q81" s="587"/>
      <c r="R81" s="587"/>
      <c r="S81" s="587"/>
      <c r="T81" s="587"/>
      <c r="U81" s="584"/>
      <c r="V81" s="598"/>
    </row>
    <row r="82" spans="1:22" ht="12.75" customHeight="1" x14ac:dyDescent="0.2">
      <c r="A82" s="811" t="s">
        <v>102</v>
      </c>
      <c r="B82" s="811"/>
      <c r="C82" s="811"/>
      <c r="D82" s="811"/>
      <c r="E82" s="811"/>
      <c r="F82" s="811"/>
      <c r="G82" s="811"/>
      <c r="I82" s="586">
        <v>18</v>
      </c>
      <c r="J82" s="584">
        <v>2000</v>
      </c>
      <c r="K82" s="584">
        <v>1600</v>
      </c>
      <c r="L82" s="584"/>
      <c r="M82" s="584"/>
      <c r="N82" s="584"/>
      <c r="O82" s="584">
        <f t="shared" si="3"/>
        <v>3600</v>
      </c>
      <c r="P82" s="598">
        <f t="shared" si="2"/>
        <v>200</v>
      </c>
      <c r="Q82" s="587"/>
      <c r="R82" s="587"/>
      <c r="S82" s="587"/>
      <c r="T82" s="587"/>
      <c r="U82" s="584"/>
      <c r="V82" s="598"/>
    </row>
    <row r="83" spans="1:22" ht="12.75" customHeight="1" x14ac:dyDescent="0.2">
      <c r="I83" s="586">
        <v>18.899999999999999</v>
      </c>
      <c r="J83" s="584">
        <v>2000</v>
      </c>
      <c r="K83" s="584">
        <v>1600</v>
      </c>
      <c r="L83" s="584"/>
      <c r="M83" s="584"/>
      <c r="N83" s="584"/>
      <c r="O83" s="584">
        <f t="shared" si="3"/>
        <v>3600</v>
      </c>
      <c r="P83" s="598">
        <f t="shared" si="2"/>
        <v>190.47619047619048</v>
      </c>
      <c r="Q83" s="587"/>
      <c r="R83" s="587"/>
      <c r="S83" s="587"/>
      <c r="T83" s="587"/>
      <c r="U83" s="584"/>
      <c r="V83" s="598"/>
    </row>
    <row r="84" spans="1:22" ht="12.75" customHeight="1" x14ac:dyDescent="0.2">
      <c r="I84" s="586">
        <v>19</v>
      </c>
      <c r="J84" s="584">
        <v>2000</v>
      </c>
      <c r="K84" s="584">
        <v>1000</v>
      </c>
      <c r="L84" s="584">
        <v>400</v>
      </c>
      <c r="M84" s="584">
        <v>400</v>
      </c>
      <c r="N84" s="584"/>
      <c r="O84" s="584">
        <f t="shared" si="3"/>
        <v>3800</v>
      </c>
      <c r="P84" s="598">
        <f t="shared" si="2"/>
        <v>200</v>
      </c>
      <c r="Q84" s="587"/>
      <c r="R84" s="587"/>
      <c r="S84" s="587"/>
      <c r="T84" s="587"/>
      <c r="U84" s="584"/>
      <c r="V84" s="598"/>
    </row>
    <row r="85" spans="1:22" ht="12.75" customHeight="1" x14ac:dyDescent="0.2">
      <c r="I85" s="586">
        <v>19.899999999999999</v>
      </c>
      <c r="J85" s="584">
        <v>2000</v>
      </c>
      <c r="K85" s="584">
        <v>1000</v>
      </c>
      <c r="L85" s="584">
        <v>400</v>
      </c>
      <c r="M85" s="584">
        <v>400</v>
      </c>
      <c r="N85" s="584"/>
      <c r="O85" s="584">
        <f t="shared" si="3"/>
        <v>3800</v>
      </c>
      <c r="P85" s="598">
        <f t="shared" si="2"/>
        <v>190.95477386934675</v>
      </c>
      <c r="Q85" s="587"/>
      <c r="R85" s="587"/>
      <c r="S85" s="587"/>
      <c r="T85" s="587"/>
      <c r="U85" s="584"/>
      <c r="V85" s="598"/>
    </row>
    <row r="86" spans="1:22" ht="12.75" customHeight="1" x14ac:dyDescent="0.2">
      <c r="I86" s="586">
        <v>20</v>
      </c>
      <c r="J86" s="584">
        <v>2000</v>
      </c>
      <c r="K86" s="584">
        <v>2000</v>
      </c>
      <c r="L86" s="584"/>
      <c r="M86" s="584"/>
      <c r="N86" s="584"/>
      <c r="O86" s="584">
        <f t="shared" si="3"/>
        <v>4000</v>
      </c>
      <c r="P86" s="598">
        <f t="shared" ref="P86:P117" si="4">O86/I86</f>
        <v>200</v>
      </c>
      <c r="Q86" s="587"/>
      <c r="R86" s="587"/>
      <c r="S86" s="587"/>
      <c r="T86" s="587"/>
      <c r="U86" s="584"/>
      <c r="V86" s="598"/>
    </row>
    <row r="87" spans="1:22" ht="12.75" customHeight="1" x14ac:dyDescent="0.2">
      <c r="I87" s="586">
        <v>20.9</v>
      </c>
      <c r="J87" s="584">
        <v>2000</v>
      </c>
      <c r="K87" s="584">
        <v>2000</v>
      </c>
      <c r="L87" s="584"/>
      <c r="M87" s="584"/>
      <c r="N87" s="584"/>
      <c r="O87" s="584">
        <f t="shared" si="3"/>
        <v>4000</v>
      </c>
      <c r="P87" s="598">
        <f t="shared" si="4"/>
        <v>191.38755980861245</v>
      </c>
      <c r="Q87" s="602"/>
      <c r="R87" s="587"/>
      <c r="S87" s="587"/>
      <c r="T87" s="587"/>
      <c r="U87" s="584"/>
      <c r="V87" s="598"/>
    </row>
    <row r="88" spans="1:22" ht="12.75" customHeight="1" x14ac:dyDescent="0.2">
      <c r="I88" s="586">
        <v>21</v>
      </c>
      <c r="J88" s="584">
        <v>1600</v>
      </c>
      <c r="K88" s="584">
        <v>1600</v>
      </c>
      <c r="L88" s="584">
        <v>1000</v>
      </c>
      <c r="M88" s="584"/>
      <c r="N88" s="584"/>
      <c r="O88" s="584">
        <f t="shared" si="3"/>
        <v>4200</v>
      </c>
      <c r="P88" s="598">
        <f t="shared" si="4"/>
        <v>200</v>
      </c>
      <c r="Q88" s="602"/>
      <c r="R88" s="587"/>
      <c r="S88" s="587"/>
      <c r="T88" s="587"/>
      <c r="U88" s="584"/>
      <c r="V88" s="598"/>
    </row>
    <row r="89" spans="1:22" ht="12.75" customHeight="1" x14ac:dyDescent="0.2">
      <c r="I89" s="586">
        <v>21.9</v>
      </c>
      <c r="J89" s="584">
        <v>1600</v>
      </c>
      <c r="K89" s="584">
        <v>1600</v>
      </c>
      <c r="L89" s="584">
        <v>1000</v>
      </c>
      <c r="M89" s="584"/>
      <c r="N89" s="584"/>
      <c r="O89" s="584">
        <f t="shared" si="3"/>
        <v>4200</v>
      </c>
      <c r="P89" s="598">
        <f t="shared" si="4"/>
        <v>191.78082191780823</v>
      </c>
      <c r="Q89" s="602"/>
      <c r="R89" s="587"/>
      <c r="S89" s="587"/>
      <c r="T89" s="587"/>
      <c r="U89" s="584"/>
      <c r="V89" s="598"/>
    </row>
    <row r="90" spans="1:22" ht="12.75" customHeight="1" x14ac:dyDescent="0.2">
      <c r="I90" s="586">
        <v>22</v>
      </c>
      <c r="J90" s="584">
        <v>2000</v>
      </c>
      <c r="K90" s="584">
        <v>2000</v>
      </c>
      <c r="L90" s="584">
        <v>400</v>
      </c>
      <c r="M90" s="584"/>
      <c r="N90" s="584"/>
      <c r="O90" s="584">
        <f t="shared" si="3"/>
        <v>4400</v>
      </c>
      <c r="P90" s="598">
        <f t="shared" si="4"/>
        <v>200</v>
      </c>
      <c r="Q90" s="602"/>
      <c r="R90" s="587"/>
      <c r="S90" s="587"/>
      <c r="T90" s="587"/>
      <c r="U90" s="584"/>
      <c r="V90" s="598"/>
    </row>
    <row r="91" spans="1:22" ht="12.75" customHeight="1" x14ac:dyDescent="0.2">
      <c r="I91" s="586">
        <v>22.9</v>
      </c>
      <c r="J91" s="584">
        <v>2000</v>
      </c>
      <c r="K91" s="584">
        <v>2000</v>
      </c>
      <c r="L91" s="584">
        <v>400</v>
      </c>
      <c r="M91" s="584"/>
      <c r="N91" s="584"/>
      <c r="O91" s="584">
        <f t="shared" si="3"/>
        <v>4400</v>
      </c>
      <c r="P91" s="598">
        <f t="shared" si="4"/>
        <v>192.1397379912664</v>
      </c>
      <c r="Q91" s="602"/>
      <c r="R91" s="587"/>
      <c r="S91" s="587"/>
      <c r="T91" s="587"/>
      <c r="U91" s="584"/>
      <c r="V91" s="598"/>
    </row>
    <row r="92" spans="1:22" ht="12.75" customHeight="1" x14ac:dyDescent="0.2">
      <c r="I92" s="586">
        <v>23</v>
      </c>
      <c r="J92" s="584">
        <v>1600</v>
      </c>
      <c r="K92" s="584">
        <v>1600</v>
      </c>
      <c r="L92" s="584">
        <v>1000</v>
      </c>
      <c r="M92" s="584">
        <v>400</v>
      </c>
      <c r="N92" s="584"/>
      <c r="O92" s="584">
        <f t="shared" si="3"/>
        <v>4600</v>
      </c>
      <c r="P92" s="598">
        <f t="shared" si="4"/>
        <v>200</v>
      </c>
      <c r="Q92" s="602"/>
      <c r="R92" s="587"/>
      <c r="S92" s="587"/>
      <c r="T92" s="587"/>
      <c r="U92" s="584"/>
      <c r="V92" s="598"/>
    </row>
    <row r="93" spans="1:22" ht="12.75" customHeight="1" x14ac:dyDescent="0.2">
      <c r="I93" s="586">
        <v>23.9</v>
      </c>
      <c r="J93" s="584">
        <v>1600</v>
      </c>
      <c r="K93" s="584">
        <v>1600</v>
      </c>
      <c r="L93" s="584">
        <v>1000</v>
      </c>
      <c r="M93" s="584">
        <v>400</v>
      </c>
      <c r="N93" s="584"/>
      <c r="O93" s="584">
        <f t="shared" si="3"/>
        <v>4600</v>
      </c>
      <c r="P93" s="598">
        <f t="shared" si="4"/>
        <v>192.46861924686195</v>
      </c>
      <c r="Q93" s="587"/>
      <c r="R93" s="587"/>
      <c r="S93" s="587"/>
      <c r="T93" s="587"/>
      <c r="U93" s="584"/>
      <c r="V93" s="598"/>
    </row>
    <row r="94" spans="1:22" ht="12.75" customHeight="1" x14ac:dyDescent="0.2">
      <c r="I94" s="586">
        <v>24</v>
      </c>
      <c r="J94" s="584">
        <v>1600</v>
      </c>
      <c r="K94" s="584">
        <v>1600</v>
      </c>
      <c r="L94" s="584">
        <v>1600</v>
      </c>
      <c r="M94" s="584"/>
      <c r="N94" s="584"/>
      <c r="O94" s="584">
        <f t="shared" si="3"/>
        <v>4800</v>
      </c>
      <c r="P94" s="598">
        <f t="shared" si="4"/>
        <v>200</v>
      </c>
      <c r="Q94" s="587"/>
      <c r="R94" s="587"/>
      <c r="S94" s="587"/>
      <c r="T94" s="587"/>
      <c r="U94" s="584"/>
      <c r="V94" s="598"/>
    </row>
    <row r="95" spans="1:22" ht="12.75" customHeight="1" x14ac:dyDescent="0.2">
      <c r="I95" s="586">
        <v>24.9</v>
      </c>
      <c r="J95" s="584">
        <v>1600</v>
      </c>
      <c r="K95" s="584">
        <v>1600</v>
      </c>
      <c r="L95" s="584">
        <v>1600</v>
      </c>
      <c r="M95" s="584"/>
      <c r="N95" s="584"/>
      <c r="O95" s="584">
        <f t="shared" si="3"/>
        <v>4800</v>
      </c>
      <c r="P95" s="598">
        <f t="shared" si="4"/>
        <v>192.77108433734941</v>
      </c>
      <c r="Q95" s="587"/>
      <c r="R95" s="587"/>
      <c r="S95" s="587"/>
      <c r="T95" s="587"/>
      <c r="U95" s="584"/>
      <c r="V95" s="598"/>
    </row>
    <row r="96" spans="1:22" ht="12.75" customHeight="1" x14ac:dyDescent="0.2">
      <c r="I96" s="586">
        <v>25</v>
      </c>
      <c r="J96" s="584">
        <v>2000</v>
      </c>
      <c r="K96" s="584">
        <v>2000</v>
      </c>
      <c r="L96" s="584">
        <v>1000</v>
      </c>
      <c r="M96" s="584"/>
      <c r="N96" s="584"/>
      <c r="O96" s="584">
        <f t="shared" si="3"/>
        <v>5000</v>
      </c>
      <c r="P96" s="598">
        <f t="shared" si="4"/>
        <v>200</v>
      </c>
      <c r="Q96" s="587"/>
      <c r="R96" s="587"/>
      <c r="S96" s="587"/>
      <c r="T96" s="587"/>
      <c r="U96" s="584"/>
      <c r="V96" s="598"/>
    </row>
    <row r="97" spans="9:22" ht="12.75" customHeight="1" x14ac:dyDescent="0.2">
      <c r="I97" s="586">
        <v>25.9</v>
      </c>
      <c r="J97" s="584">
        <v>2000</v>
      </c>
      <c r="K97" s="584">
        <v>2000</v>
      </c>
      <c r="L97" s="584">
        <v>1000</v>
      </c>
      <c r="M97" s="584"/>
      <c r="N97" s="584"/>
      <c r="O97" s="584">
        <f t="shared" si="3"/>
        <v>5000</v>
      </c>
      <c r="P97" s="598">
        <f t="shared" si="4"/>
        <v>193.05019305019306</v>
      </c>
      <c r="Q97" s="587"/>
      <c r="R97" s="587"/>
      <c r="S97" s="587"/>
      <c r="T97" s="587"/>
      <c r="U97" s="584"/>
      <c r="V97" s="598"/>
    </row>
    <row r="98" spans="9:22" ht="12.75" customHeight="1" x14ac:dyDescent="0.2">
      <c r="I98" s="586">
        <v>26</v>
      </c>
      <c r="J98" s="584">
        <v>2000</v>
      </c>
      <c r="K98" s="584">
        <v>1600</v>
      </c>
      <c r="L98" s="584">
        <v>1600</v>
      </c>
      <c r="M98" s="584"/>
      <c r="N98" s="584"/>
      <c r="O98" s="584">
        <f t="shared" si="3"/>
        <v>5200</v>
      </c>
      <c r="P98" s="598">
        <f t="shared" si="4"/>
        <v>200</v>
      </c>
      <c r="Q98" s="587"/>
      <c r="R98" s="587"/>
      <c r="S98" s="587"/>
      <c r="T98" s="587"/>
      <c r="U98" s="584"/>
      <c r="V98" s="598"/>
    </row>
    <row r="99" spans="9:22" ht="12.75" customHeight="1" x14ac:dyDescent="0.2">
      <c r="I99" s="586">
        <v>26.9</v>
      </c>
      <c r="J99" s="584">
        <v>2000</v>
      </c>
      <c r="K99" s="584">
        <v>1600</v>
      </c>
      <c r="L99" s="584">
        <v>1600</v>
      </c>
      <c r="M99" s="584"/>
      <c r="N99" s="584"/>
      <c r="O99" s="584">
        <f t="shared" si="3"/>
        <v>5200</v>
      </c>
      <c r="P99" s="598">
        <f t="shared" si="4"/>
        <v>193.30855018587363</v>
      </c>
      <c r="Q99" s="587"/>
      <c r="R99" s="587"/>
      <c r="S99" s="587"/>
      <c r="T99" s="587"/>
      <c r="U99" s="584"/>
      <c r="V99" s="598"/>
    </row>
    <row r="100" spans="9:22" ht="12.75" customHeight="1" x14ac:dyDescent="0.2">
      <c r="I100" s="586">
        <v>27</v>
      </c>
      <c r="J100" s="584">
        <v>2000</v>
      </c>
      <c r="K100" s="584">
        <v>2000</v>
      </c>
      <c r="L100" s="584">
        <v>1000</v>
      </c>
      <c r="M100" s="584">
        <v>400</v>
      </c>
      <c r="N100" s="584"/>
      <c r="O100" s="584">
        <f t="shared" si="3"/>
        <v>5400</v>
      </c>
      <c r="P100" s="598">
        <f t="shared" si="4"/>
        <v>200</v>
      </c>
      <c r="Q100" s="587"/>
      <c r="R100" s="587"/>
      <c r="S100" s="587"/>
      <c r="T100" s="587"/>
      <c r="U100" s="584"/>
      <c r="V100" s="598"/>
    </row>
    <row r="101" spans="9:22" ht="12.75" customHeight="1" x14ac:dyDescent="0.2">
      <c r="I101" s="586">
        <v>27.9</v>
      </c>
      <c r="J101" s="584">
        <v>2000</v>
      </c>
      <c r="K101" s="584">
        <v>2000</v>
      </c>
      <c r="L101" s="584">
        <v>1000</v>
      </c>
      <c r="M101" s="584">
        <v>400</v>
      </c>
      <c r="N101" s="584"/>
      <c r="O101" s="584">
        <f t="shared" si="3"/>
        <v>5400</v>
      </c>
      <c r="P101" s="598">
        <f t="shared" si="4"/>
        <v>193.54838709677421</v>
      </c>
      <c r="Q101" s="587"/>
      <c r="R101" s="587"/>
      <c r="S101" s="587"/>
      <c r="T101" s="587"/>
      <c r="U101" s="584"/>
      <c r="V101" s="598"/>
    </row>
    <row r="102" spans="9:22" ht="12.75" customHeight="1" x14ac:dyDescent="0.2">
      <c r="I102" s="586">
        <v>28</v>
      </c>
      <c r="J102" s="584">
        <v>2000</v>
      </c>
      <c r="K102" s="584">
        <v>2000</v>
      </c>
      <c r="L102" s="584">
        <v>1600</v>
      </c>
      <c r="M102" s="584"/>
      <c r="N102" s="584"/>
      <c r="O102" s="584">
        <f t="shared" si="3"/>
        <v>5600</v>
      </c>
      <c r="P102" s="598">
        <f t="shared" si="4"/>
        <v>200</v>
      </c>
      <c r="Q102" s="587"/>
      <c r="R102" s="587"/>
      <c r="S102" s="587"/>
      <c r="T102" s="587"/>
      <c r="U102" s="584"/>
      <c r="V102" s="598"/>
    </row>
    <row r="103" spans="9:22" ht="12.75" customHeight="1" x14ac:dyDescent="0.2">
      <c r="I103" s="586">
        <v>28.9</v>
      </c>
      <c r="J103" s="584">
        <v>2000</v>
      </c>
      <c r="K103" s="584">
        <v>2000</v>
      </c>
      <c r="L103" s="584">
        <v>1600</v>
      </c>
      <c r="M103" s="584"/>
      <c r="N103" s="584"/>
      <c r="O103" s="584">
        <f t="shared" si="3"/>
        <v>5600</v>
      </c>
      <c r="P103" s="598">
        <f t="shared" si="4"/>
        <v>193.77162629757785</v>
      </c>
      <c r="Q103" s="587"/>
      <c r="R103" s="587"/>
      <c r="S103" s="587"/>
      <c r="T103" s="587"/>
      <c r="U103" s="584"/>
      <c r="V103" s="598"/>
    </row>
    <row r="104" spans="9:22" ht="12.75" customHeight="1" x14ac:dyDescent="0.2">
      <c r="I104" s="586">
        <v>29</v>
      </c>
      <c r="J104" s="584">
        <v>1600</v>
      </c>
      <c r="K104" s="584">
        <v>1600</v>
      </c>
      <c r="L104" s="584">
        <v>1600</v>
      </c>
      <c r="M104" s="584">
        <v>1000</v>
      </c>
      <c r="N104" s="584"/>
      <c r="O104" s="584">
        <f t="shared" si="3"/>
        <v>5800</v>
      </c>
      <c r="P104" s="598">
        <f t="shared" si="4"/>
        <v>200</v>
      </c>
      <c r="Q104" s="587"/>
      <c r="R104" s="587"/>
      <c r="S104" s="587"/>
      <c r="T104" s="587"/>
      <c r="U104" s="584"/>
      <c r="V104" s="598"/>
    </row>
    <row r="105" spans="9:22" ht="12.75" customHeight="1" x14ac:dyDescent="0.2">
      <c r="I105" s="586">
        <v>29.9</v>
      </c>
      <c r="J105" s="584">
        <v>1600</v>
      </c>
      <c r="K105" s="584">
        <v>1600</v>
      </c>
      <c r="L105" s="584">
        <v>1600</v>
      </c>
      <c r="M105" s="584">
        <v>1000</v>
      </c>
      <c r="N105" s="584"/>
      <c r="O105" s="584">
        <f t="shared" si="3"/>
        <v>5800</v>
      </c>
      <c r="P105" s="598">
        <f t="shared" si="4"/>
        <v>193.97993311036791</v>
      </c>
      <c r="Q105" s="587"/>
      <c r="R105" s="587"/>
      <c r="S105" s="587"/>
      <c r="T105" s="587"/>
      <c r="U105" s="584"/>
      <c r="V105" s="598"/>
    </row>
    <row r="106" spans="9:22" ht="12.75" customHeight="1" x14ac:dyDescent="0.2">
      <c r="I106" s="586">
        <v>30</v>
      </c>
      <c r="J106" s="584">
        <v>2000</v>
      </c>
      <c r="K106" s="584">
        <v>2000</v>
      </c>
      <c r="L106" s="584">
        <v>2000</v>
      </c>
      <c r="M106" s="584"/>
      <c r="N106" s="584"/>
      <c r="O106" s="584">
        <f t="shared" si="3"/>
        <v>6000</v>
      </c>
      <c r="P106" s="598">
        <f t="shared" si="4"/>
        <v>200</v>
      </c>
      <c r="Q106" s="587"/>
      <c r="R106" s="587"/>
      <c r="S106" s="587"/>
      <c r="T106" s="587"/>
      <c r="U106" s="584"/>
      <c r="V106" s="598"/>
    </row>
    <row r="107" spans="9:22" ht="12.75" customHeight="1" x14ac:dyDescent="0.2">
      <c r="I107" s="586">
        <v>30.9</v>
      </c>
      <c r="J107" s="584">
        <v>2000</v>
      </c>
      <c r="K107" s="584">
        <v>2000</v>
      </c>
      <c r="L107" s="584">
        <v>2000</v>
      </c>
      <c r="M107" s="584"/>
      <c r="N107" s="584"/>
      <c r="O107" s="584">
        <f t="shared" si="3"/>
        <v>6000</v>
      </c>
      <c r="P107" s="598">
        <f t="shared" si="4"/>
        <v>194.17475728155341</v>
      </c>
      <c r="Q107" s="587"/>
      <c r="R107" s="587"/>
      <c r="S107" s="587"/>
      <c r="T107" s="587"/>
      <c r="U107" s="584"/>
      <c r="V107" s="598"/>
    </row>
    <row r="108" spans="9:22" ht="12.75" customHeight="1" x14ac:dyDescent="0.2">
      <c r="I108" s="586">
        <v>31</v>
      </c>
      <c r="J108" s="584">
        <v>2000</v>
      </c>
      <c r="K108" s="584">
        <v>1600</v>
      </c>
      <c r="L108" s="584">
        <v>1600</v>
      </c>
      <c r="M108" s="584">
        <v>1000</v>
      </c>
      <c r="N108" s="584"/>
      <c r="O108" s="584">
        <f t="shared" si="3"/>
        <v>6200</v>
      </c>
      <c r="P108" s="598">
        <f t="shared" si="4"/>
        <v>200</v>
      </c>
      <c r="Q108" s="587"/>
      <c r="R108" s="587"/>
      <c r="S108" s="587"/>
      <c r="T108" s="587"/>
      <c r="U108" s="584"/>
      <c r="V108" s="598"/>
    </row>
    <row r="109" spans="9:22" ht="12.75" customHeight="1" x14ac:dyDescent="0.2">
      <c r="I109" s="586">
        <v>31.9</v>
      </c>
      <c r="J109" s="584">
        <v>2000</v>
      </c>
      <c r="K109" s="584">
        <v>1600</v>
      </c>
      <c r="L109" s="584">
        <v>1600</v>
      </c>
      <c r="M109" s="584">
        <v>1000</v>
      </c>
      <c r="N109" s="584"/>
      <c r="O109" s="584">
        <f t="shared" si="3"/>
        <v>6200</v>
      </c>
      <c r="P109" s="598">
        <f t="shared" si="4"/>
        <v>194.35736677115989</v>
      </c>
      <c r="Q109" s="587"/>
      <c r="R109" s="587"/>
      <c r="S109" s="587"/>
      <c r="T109" s="587"/>
      <c r="U109" s="584"/>
      <c r="V109" s="598"/>
    </row>
    <row r="110" spans="9:22" ht="12.75" customHeight="1" x14ac:dyDescent="0.2">
      <c r="I110" s="586">
        <v>32</v>
      </c>
      <c r="J110" s="584">
        <v>2000</v>
      </c>
      <c r="K110" s="584">
        <v>2000</v>
      </c>
      <c r="L110" s="584">
        <v>2000</v>
      </c>
      <c r="M110" s="584">
        <v>400</v>
      </c>
      <c r="N110" s="584"/>
      <c r="O110" s="584">
        <f t="shared" si="3"/>
        <v>6400</v>
      </c>
      <c r="P110" s="598">
        <f t="shared" si="4"/>
        <v>200</v>
      </c>
      <c r="Q110" s="587"/>
      <c r="R110" s="587"/>
      <c r="S110" s="587"/>
      <c r="T110" s="587"/>
      <c r="U110" s="584"/>
      <c r="V110" s="598"/>
    </row>
    <row r="111" spans="9:22" ht="12.75" customHeight="1" x14ac:dyDescent="0.2">
      <c r="I111" s="586">
        <v>32.9</v>
      </c>
      <c r="J111" s="584">
        <v>2000</v>
      </c>
      <c r="K111" s="584">
        <v>2000</v>
      </c>
      <c r="L111" s="584">
        <v>2000</v>
      </c>
      <c r="M111" s="584">
        <v>400</v>
      </c>
      <c r="N111" s="584"/>
      <c r="O111" s="584">
        <f t="shared" si="3"/>
        <v>6400</v>
      </c>
      <c r="P111" s="598">
        <f t="shared" si="4"/>
        <v>194.52887537993922</v>
      </c>
      <c r="Q111" s="587"/>
      <c r="R111" s="587"/>
      <c r="S111" s="587"/>
      <c r="T111" s="587"/>
      <c r="U111" s="584"/>
      <c r="V111" s="598"/>
    </row>
    <row r="112" spans="9:22" ht="12.75" customHeight="1" x14ac:dyDescent="0.2">
      <c r="I112" s="586">
        <v>33</v>
      </c>
      <c r="J112" s="584">
        <v>2000</v>
      </c>
      <c r="K112" s="584">
        <v>2000</v>
      </c>
      <c r="L112" s="584">
        <v>1600</v>
      </c>
      <c r="M112" s="584">
        <v>1000</v>
      </c>
      <c r="N112" s="584"/>
      <c r="O112" s="584">
        <f t="shared" si="3"/>
        <v>6600</v>
      </c>
      <c r="P112" s="598">
        <f t="shared" si="4"/>
        <v>200</v>
      </c>
      <c r="Q112" s="587"/>
      <c r="R112" s="587"/>
      <c r="S112" s="587"/>
      <c r="T112" s="587"/>
      <c r="U112" s="584"/>
      <c r="V112" s="598"/>
    </row>
    <row r="113" spans="9:22" ht="12.75" customHeight="1" x14ac:dyDescent="0.2">
      <c r="I113" s="586">
        <v>33.9</v>
      </c>
      <c r="J113" s="584">
        <v>2000</v>
      </c>
      <c r="K113" s="584">
        <v>2000</v>
      </c>
      <c r="L113" s="584">
        <v>1600</v>
      </c>
      <c r="M113" s="584">
        <v>1000</v>
      </c>
      <c r="N113" s="584"/>
      <c r="O113" s="584">
        <f t="shared" si="3"/>
        <v>6600</v>
      </c>
      <c r="P113" s="598">
        <f t="shared" si="4"/>
        <v>194.69026548672568</v>
      </c>
      <c r="Q113" s="587"/>
      <c r="R113" s="587"/>
      <c r="S113" s="587"/>
      <c r="T113" s="587"/>
      <c r="U113" s="584"/>
      <c r="V113" s="598"/>
    </row>
    <row r="114" spans="9:22" ht="12.75" customHeight="1" x14ac:dyDescent="0.2">
      <c r="I114" s="586">
        <v>34</v>
      </c>
      <c r="J114" s="584">
        <v>2000</v>
      </c>
      <c r="K114" s="584">
        <v>1600</v>
      </c>
      <c r="L114" s="584">
        <v>1600</v>
      </c>
      <c r="M114" s="584">
        <v>1600</v>
      </c>
      <c r="N114" s="584"/>
      <c r="O114" s="584">
        <f t="shared" si="3"/>
        <v>6800</v>
      </c>
      <c r="P114" s="598">
        <f t="shared" si="4"/>
        <v>200</v>
      </c>
      <c r="Q114" s="587"/>
      <c r="R114" s="587"/>
      <c r="S114" s="587"/>
      <c r="T114" s="587"/>
      <c r="U114" s="584"/>
      <c r="V114" s="598"/>
    </row>
    <row r="115" spans="9:22" ht="12.75" customHeight="1" x14ac:dyDescent="0.2">
      <c r="I115" s="586">
        <v>34.9</v>
      </c>
      <c r="J115" s="584">
        <v>2000</v>
      </c>
      <c r="K115" s="584">
        <v>1600</v>
      </c>
      <c r="L115" s="584">
        <v>1600</v>
      </c>
      <c r="M115" s="584">
        <v>1600</v>
      </c>
      <c r="N115" s="584"/>
      <c r="O115" s="584">
        <f t="shared" si="3"/>
        <v>6800</v>
      </c>
      <c r="P115" s="598">
        <f t="shared" si="4"/>
        <v>194.84240687679085</v>
      </c>
      <c r="Q115" s="587"/>
      <c r="R115" s="587"/>
      <c r="S115" s="587"/>
      <c r="T115" s="587"/>
      <c r="U115" s="584"/>
      <c r="V115" s="598"/>
    </row>
    <row r="116" spans="9:22" ht="12.75" customHeight="1" x14ac:dyDescent="0.2">
      <c r="I116" s="586">
        <v>35</v>
      </c>
      <c r="J116" s="584">
        <v>2000</v>
      </c>
      <c r="K116" s="584">
        <v>2000</v>
      </c>
      <c r="L116" s="584">
        <v>2000</v>
      </c>
      <c r="M116" s="584">
        <v>1000</v>
      </c>
      <c r="N116" s="584"/>
      <c r="O116" s="584">
        <f t="shared" si="3"/>
        <v>7000</v>
      </c>
      <c r="P116" s="598">
        <f t="shared" si="4"/>
        <v>200</v>
      </c>
      <c r="Q116" s="587"/>
      <c r="R116" s="587"/>
      <c r="S116" s="587"/>
      <c r="T116" s="587"/>
      <c r="U116" s="584"/>
      <c r="V116" s="598"/>
    </row>
    <row r="117" spans="9:22" ht="12.75" customHeight="1" x14ac:dyDescent="0.2">
      <c r="I117" s="586">
        <v>35.9</v>
      </c>
      <c r="J117" s="584">
        <v>2000</v>
      </c>
      <c r="K117" s="584">
        <v>2000</v>
      </c>
      <c r="L117" s="584">
        <v>2000</v>
      </c>
      <c r="M117" s="584">
        <v>1000</v>
      </c>
      <c r="N117" s="584"/>
      <c r="O117" s="584">
        <f t="shared" si="3"/>
        <v>7000</v>
      </c>
      <c r="P117" s="598">
        <f t="shared" si="4"/>
        <v>194.98607242339833</v>
      </c>
      <c r="Q117" s="587"/>
      <c r="R117" s="587"/>
      <c r="S117" s="587"/>
      <c r="T117" s="587"/>
      <c r="U117" s="584"/>
      <c r="V117" s="598"/>
    </row>
    <row r="118" spans="9:22" ht="12.75" customHeight="1" x14ac:dyDescent="0.2">
      <c r="I118" s="586">
        <v>36</v>
      </c>
      <c r="J118" s="584">
        <v>2000</v>
      </c>
      <c r="K118" s="584">
        <v>2000</v>
      </c>
      <c r="L118" s="584">
        <v>1600</v>
      </c>
      <c r="M118" s="584">
        <v>1600</v>
      </c>
      <c r="N118" s="584"/>
      <c r="O118" s="584">
        <f t="shared" si="3"/>
        <v>7200</v>
      </c>
      <c r="P118" s="598">
        <f t="shared" ref="P118:P128" si="5">O118/I118</f>
        <v>200</v>
      </c>
      <c r="Q118" s="587"/>
      <c r="R118" s="587"/>
      <c r="S118" s="587"/>
      <c r="T118" s="587"/>
      <c r="U118" s="584"/>
      <c r="V118" s="598"/>
    </row>
    <row r="119" spans="9:22" ht="12.75" customHeight="1" x14ac:dyDescent="0.2">
      <c r="I119" s="586">
        <v>37.9</v>
      </c>
      <c r="J119" s="584">
        <v>2000</v>
      </c>
      <c r="K119" s="584">
        <v>2000</v>
      </c>
      <c r="L119" s="584">
        <v>1600</v>
      </c>
      <c r="M119" s="584">
        <v>1600</v>
      </c>
      <c r="N119" s="584"/>
      <c r="O119" s="584">
        <f t="shared" si="3"/>
        <v>7200</v>
      </c>
      <c r="P119" s="598">
        <f t="shared" si="5"/>
        <v>189.97361477572559</v>
      </c>
      <c r="Q119" s="587"/>
      <c r="R119" s="587"/>
      <c r="S119" s="587"/>
      <c r="T119" s="587"/>
      <c r="U119" s="584"/>
      <c r="V119" s="598"/>
    </row>
    <row r="120" spans="9:22" ht="12.75" customHeight="1" x14ac:dyDescent="0.2">
      <c r="I120" s="586">
        <v>38</v>
      </c>
      <c r="J120" s="584">
        <v>2000</v>
      </c>
      <c r="K120" s="584">
        <v>2000</v>
      </c>
      <c r="L120" s="584">
        <v>2000</v>
      </c>
      <c r="M120" s="584">
        <v>1600</v>
      </c>
      <c r="N120" s="584"/>
      <c r="O120" s="584">
        <f t="shared" si="3"/>
        <v>7600</v>
      </c>
      <c r="P120" s="598">
        <f t="shared" si="5"/>
        <v>200</v>
      </c>
      <c r="Q120" s="587"/>
      <c r="R120" s="587"/>
      <c r="S120" s="587"/>
      <c r="T120" s="587"/>
      <c r="U120" s="584"/>
      <c r="V120" s="598"/>
    </row>
    <row r="121" spans="9:22" ht="12.75" customHeight="1" x14ac:dyDescent="0.2">
      <c r="I121" s="586">
        <v>39.9</v>
      </c>
      <c r="J121" s="584">
        <v>2000</v>
      </c>
      <c r="K121" s="584">
        <v>2000</v>
      </c>
      <c r="L121" s="584">
        <v>2000</v>
      </c>
      <c r="M121" s="584">
        <v>1600</v>
      </c>
      <c r="N121" s="584"/>
      <c r="O121" s="584">
        <f t="shared" si="3"/>
        <v>7600</v>
      </c>
      <c r="P121" s="598">
        <f t="shared" si="5"/>
        <v>190.47619047619048</v>
      </c>
      <c r="Q121" s="587"/>
      <c r="R121" s="587"/>
      <c r="S121" s="587"/>
      <c r="T121" s="587"/>
      <c r="U121" s="584"/>
      <c r="V121" s="598"/>
    </row>
    <row r="122" spans="9:22" ht="12.75" customHeight="1" x14ac:dyDescent="0.2">
      <c r="I122" s="586">
        <v>40</v>
      </c>
      <c r="J122" s="584">
        <v>2000</v>
      </c>
      <c r="K122" s="584">
        <v>2000</v>
      </c>
      <c r="L122" s="584">
        <v>2000</v>
      </c>
      <c r="M122" s="584">
        <v>2000</v>
      </c>
      <c r="N122" s="584"/>
      <c r="O122" s="584">
        <f t="shared" si="3"/>
        <v>8000</v>
      </c>
      <c r="P122" s="598">
        <f t="shared" si="5"/>
        <v>200</v>
      </c>
      <c r="Q122" s="587"/>
      <c r="R122" s="587"/>
      <c r="S122" s="587"/>
      <c r="T122" s="587"/>
      <c r="U122" s="584"/>
      <c r="V122" s="598"/>
    </row>
    <row r="123" spans="9:22" ht="12.75" customHeight="1" x14ac:dyDescent="0.2">
      <c r="I123" s="586">
        <v>41.9</v>
      </c>
      <c r="J123" s="584">
        <v>2000</v>
      </c>
      <c r="K123" s="584">
        <v>2000</v>
      </c>
      <c r="L123" s="584">
        <v>2000</v>
      </c>
      <c r="M123" s="584">
        <v>2000</v>
      </c>
      <c r="N123" s="584"/>
      <c r="O123" s="584">
        <f t="shared" si="3"/>
        <v>8000</v>
      </c>
      <c r="P123" s="598">
        <f t="shared" si="5"/>
        <v>190.93078758949881</v>
      </c>
      <c r="Q123" s="587"/>
      <c r="R123" s="587"/>
      <c r="S123" s="587"/>
      <c r="T123" s="587"/>
      <c r="U123" s="584"/>
      <c r="V123" s="598"/>
    </row>
    <row r="124" spans="9:22" ht="12.75" customHeight="1" x14ac:dyDescent="0.2">
      <c r="I124" s="586">
        <v>42</v>
      </c>
      <c r="J124" s="584">
        <v>2000</v>
      </c>
      <c r="K124" s="584">
        <v>2000</v>
      </c>
      <c r="L124" s="584">
        <v>2000</v>
      </c>
      <c r="M124" s="584">
        <v>2000</v>
      </c>
      <c r="N124" s="584">
        <v>400</v>
      </c>
      <c r="O124" s="584">
        <f t="shared" si="3"/>
        <v>8400</v>
      </c>
      <c r="P124" s="598">
        <f t="shared" si="5"/>
        <v>200</v>
      </c>
      <c r="Q124" s="587"/>
      <c r="R124" s="587"/>
      <c r="S124" s="587"/>
      <c r="T124" s="587"/>
      <c r="U124" s="584"/>
      <c r="V124" s="598"/>
    </row>
    <row r="125" spans="9:22" ht="12.75" customHeight="1" x14ac:dyDescent="0.2">
      <c r="I125" s="586">
        <v>42.9</v>
      </c>
      <c r="J125" s="584">
        <v>2000</v>
      </c>
      <c r="K125" s="584">
        <v>2000</v>
      </c>
      <c r="L125" s="584">
        <v>2000</v>
      </c>
      <c r="M125" s="584">
        <v>2000</v>
      </c>
      <c r="N125" s="584">
        <v>400</v>
      </c>
      <c r="O125" s="584">
        <f t="shared" ref="O125:O135" si="6">J125+K125+L125+M125+N125</f>
        <v>8400</v>
      </c>
      <c r="P125" s="598">
        <f t="shared" si="5"/>
        <v>195.80419580419581</v>
      </c>
      <c r="Q125" s="587"/>
      <c r="R125" s="587"/>
      <c r="S125" s="587"/>
      <c r="T125" s="587"/>
      <c r="U125" s="584"/>
      <c r="V125" s="598"/>
    </row>
    <row r="126" spans="9:22" ht="12.75" customHeight="1" x14ac:dyDescent="0.2">
      <c r="I126" s="586">
        <v>43</v>
      </c>
      <c r="J126" s="584">
        <v>2000</v>
      </c>
      <c r="K126" s="584">
        <v>2000</v>
      </c>
      <c r="L126" s="584">
        <v>2000</v>
      </c>
      <c r="M126" s="584">
        <v>1000</v>
      </c>
      <c r="N126" s="584">
        <v>1600</v>
      </c>
      <c r="O126" s="584">
        <f t="shared" si="6"/>
        <v>8600</v>
      </c>
      <c r="P126" s="598">
        <f t="shared" si="5"/>
        <v>200</v>
      </c>
      <c r="Q126" s="587"/>
      <c r="R126" s="587"/>
      <c r="S126" s="587"/>
      <c r="T126" s="587"/>
      <c r="U126" s="584"/>
      <c r="V126" s="598"/>
    </row>
    <row r="127" spans="9:22" ht="12.75" customHeight="1" x14ac:dyDescent="0.2">
      <c r="I127" s="586">
        <v>43.9</v>
      </c>
      <c r="J127" s="584">
        <v>2000</v>
      </c>
      <c r="K127" s="584">
        <v>2000</v>
      </c>
      <c r="L127" s="584">
        <v>2000</v>
      </c>
      <c r="M127" s="584">
        <v>1000</v>
      </c>
      <c r="N127" s="584">
        <v>1600</v>
      </c>
      <c r="O127" s="584">
        <f t="shared" si="6"/>
        <v>8600</v>
      </c>
      <c r="P127" s="598">
        <f t="shared" si="5"/>
        <v>195.8997722095672</v>
      </c>
      <c r="Q127" s="587"/>
      <c r="R127" s="587"/>
      <c r="S127" s="587"/>
      <c r="T127" s="587"/>
      <c r="U127" s="584"/>
      <c r="V127" s="598"/>
    </row>
    <row r="128" spans="9:22" ht="12.75" customHeight="1" x14ac:dyDescent="0.2">
      <c r="I128" s="586">
        <v>44</v>
      </c>
      <c r="J128" s="584">
        <v>2000</v>
      </c>
      <c r="K128" s="584">
        <v>2000</v>
      </c>
      <c r="L128" s="584">
        <v>1600</v>
      </c>
      <c r="M128" s="584">
        <v>1600</v>
      </c>
      <c r="N128" s="584">
        <v>1600</v>
      </c>
      <c r="O128" s="584">
        <f t="shared" si="6"/>
        <v>8800</v>
      </c>
      <c r="P128" s="598">
        <f t="shared" si="5"/>
        <v>200</v>
      </c>
      <c r="Q128" s="587"/>
      <c r="R128" s="587"/>
      <c r="S128" s="587"/>
      <c r="T128" s="587"/>
      <c r="U128" s="584"/>
      <c r="V128" s="598"/>
    </row>
    <row r="129" spans="1:22" ht="12.75" customHeight="1" x14ac:dyDescent="0.2">
      <c r="I129" s="586">
        <v>45.9</v>
      </c>
      <c r="J129" s="584">
        <v>2000</v>
      </c>
      <c r="K129" s="584">
        <v>2000</v>
      </c>
      <c r="L129" s="584">
        <v>1600</v>
      </c>
      <c r="M129" s="584">
        <v>1600</v>
      </c>
      <c r="N129" s="584">
        <v>1600</v>
      </c>
      <c r="O129" s="584">
        <f t="shared" si="6"/>
        <v>8800</v>
      </c>
      <c r="P129" s="598">
        <f t="shared" ref="P129:P135" si="7">O129/I129</f>
        <v>191.7211328976035</v>
      </c>
      <c r="Q129" s="587"/>
      <c r="R129" s="587"/>
      <c r="S129" s="587"/>
      <c r="T129" s="587"/>
      <c r="U129" s="584"/>
      <c r="V129" s="598"/>
    </row>
    <row r="130" spans="1:22" ht="12.75" customHeight="1" x14ac:dyDescent="0.2">
      <c r="I130" s="586">
        <v>46</v>
      </c>
      <c r="J130" s="584">
        <v>2000</v>
      </c>
      <c r="K130" s="584">
        <v>2000</v>
      </c>
      <c r="L130" s="584">
        <v>2000</v>
      </c>
      <c r="M130" s="584">
        <v>1600</v>
      </c>
      <c r="N130" s="584">
        <v>1600</v>
      </c>
      <c r="O130" s="584">
        <f t="shared" si="6"/>
        <v>9200</v>
      </c>
      <c r="P130" s="598">
        <f t="shared" si="7"/>
        <v>200</v>
      </c>
      <c r="Q130" s="587"/>
      <c r="R130" s="587"/>
      <c r="S130" s="587"/>
      <c r="T130" s="587"/>
      <c r="U130" s="584"/>
      <c r="V130" s="598"/>
    </row>
    <row r="131" spans="1:22" ht="12.75" customHeight="1" x14ac:dyDescent="0.2">
      <c r="I131" s="586">
        <v>46.9</v>
      </c>
      <c r="J131" s="584">
        <v>2000</v>
      </c>
      <c r="K131" s="584">
        <v>2000</v>
      </c>
      <c r="L131" s="584">
        <v>2000</v>
      </c>
      <c r="M131" s="584">
        <v>1600</v>
      </c>
      <c r="N131" s="584">
        <v>1600</v>
      </c>
      <c r="O131" s="584">
        <f t="shared" si="6"/>
        <v>9200</v>
      </c>
      <c r="P131" s="598">
        <f t="shared" si="7"/>
        <v>196.16204690831557</v>
      </c>
      <c r="Q131" s="587"/>
      <c r="R131" s="587"/>
      <c r="S131" s="587"/>
      <c r="T131" s="587"/>
      <c r="U131" s="584"/>
      <c r="V131" s="598"/>
    </row>
    <row r="132" spans="1:22" ht="12.75" customHeight="1" x14ac:dyDescent="0.2">
      <c r="I132" s="586">
        <v>48</v>
      </c>
      <c r="J132" s="584">
        <v>2000</v>
      </c>
      <c r="K132" s="584">
        <v>2000</v>
      </c>
      <c r="L132" s="584">
        <v>2000</v>
      </c>
      <c r="M132" s="584">
        <v>2000</v>
      </c>
      <c r="N132" s="584">
        <v>1600</v>
      </c>
      <c r="O132" s="584">
        <f t="shared" si="6"/>
        <v>9600</v>
      </c>
      <c r="P132" s="598">
        <f t="shared" si="7"/>
        <v>200</v>
      </c>
      <c r="Q132" s="587"/>
      <c r="R132" s="587"/>
      <c r="S132" s="587"/>
      <c r="T132" s="587"/>
      <c r="U132" s="584"/>
      <c r="V132" s="598"/>
    </row>
    <row r="133" spans="1:22" ht="12.75" customHeight="1" x14ac:dyDescent="0.2">
      <c r="I133" s="586">
        <v>48.9</v>
      </c>
      <c r="J133" s="584">
        <v>2000</v>
      </c>
      <c r="K133" s="584">
        <v>2000</v>
      </c>
      <c r="L133" s="584">
        <v>2000</v>
      </c>
      <c r="M133" s="584">
        <v>2000</v>
      </c>
      <c r="N133" s="584">
        <v>1600</v>
      </c>
      <c r="O133" s="584">
        <f t="shared" si="6"/>
        <v>9600</v>
      </c>
      <c r="P133" s="598">
        <f t="shared" si="7"/>
        <v>196.31901840490798</v>
      </c>
      <c r="Q133" s="587"/>
      <c r="R133" s="587"/>
      <c r="S133" s="587"/>
      <c r="T133" s="587"/>
      <c r="U133" s="584"/>
      <c r="V133" s="598"/>
    </row>
    <row r="134" spans="1:22" ht="12.75" customHeight="1" x14ac:dyDescent="0.2">
      <c r="I134" s="586">
        <v>50</v>
      </c>
      <c r="J134" s="584">
        <v>2000</v>
      </c>
      <c r="K134" s="584">
        <v>2000</v>
      </c>
      <c r="L134" s="584">
        <v>2000</v>
      </c>
      <c r="M134" s="584">
        <v>2000</v>
      </c>
      <c r="N134" s="584">
        <v>2000</v>
      </c>
      <c r="O134" s="584">
        <f t="shared" si="6"/>
        <v>10000</v>
      </c>
      <c r="P134" s="598">
        <f t="shared" si="7"/>
        <v>200</v>
      </c>
      <c r="Q134" s="587"/>
      <c r="R134" s="587"/>
      <c r="S134" s="587"/>
      <c r="T134" s="587"/>
      <c r="U134" s="584"/>
      <c r="V134" s="598"/>
    </row>
    <row r="135" spans="1:22" ht="12.75" customHeight="1" x14ac:dyDescent="0.2">
      <c r="I135" s="586">
        <v>51</v>
      </c>
      <c r="J135" s="584">
        <v>2000</v>
      </c>
      <c r="K135" s="584">
        <v>2000</v>
      </c>
      <c r="L135" s="584">
        <v>2000</v>
      </c>
      <c r="M135" s="584">
        <v>2000</v>
      </c>
      <c r="N135" s="584">
        <v>2000</v>
      </c>
      <c r="O135" s="584">
        <f t="shared" si="6"/>
        <v>10000</v>
      </c>
      <c r="P135" s="598">
        <f t="shared" si="7"/>
        <v>196.07843137254903</v>
      </c>
      <c r="Q135" s="587"/>
      <c r="R135" s="587"/>
      <c r="S135" s="587"/>
      <c r="T135" s="587"/>
      <c r="U135" s="584"/>
      <c r="V135" s="598"/>
    </row>
    <row r="136" spans="1:22" x14ac:dyDescent="0.2">
      <c r="I136" s="586"/>
      <c r="J136" s="584"/>
      <c r="K136" s="584"/>
      <c r="L136" s="584"/>
      <c r="M136" s="584"/>
      <c r="N136" s="584"/>
      <c r="O136" s="584"/>
      <c r="P136" s="598"/>
      <c r="Q136" s="587"/>
      <c r="R136" s="587"/>
      <c r="S136" s="587"/>
      <c r="T136" s="587"/>
      <c r="U136" s="584"/>
      <c r="V136" s="598"/>
    </row>
    <row r="137" spans="1:22" x14ac:dyDescent="0.2">
      <c r="A137" s="63"/>
      <c r="B137" s="63"/>
      <c r="C137" s="63"/>
      <c r="D137" s="63"/>
      <c r="E137" s="63"/>
      <c r="F137" s="63"/>
      <c r="G137" s="63"/>
      <c r="I137" s="586"/>
      <c r="J137" s="584"/>
      <c r="K137" s="584"/>
      <c r="L137" s="584"/>
      <c r="M137" s="584"/>
      <c r="N137" s="584"/>
      <c r="O137" s="584"/>
      <c r="P137" s="598"/>
      <c r="Q137" s="587"/>
      <c r="R137" s="587"/>
      <c r="S137" s="587"/>
      <c r="T137" s="587"/>
      <c r="U137" s="584"/>
      <c r="V137" s="598"/>
    </row>
    <row r="138" spans="1:22" ht="30" customHeight="1" x14ac:dyDescent="0.2">
      <c r="A138" s="742"/>
      <c r="B138" s="742"/>
      <c r="C138" s="742"/>
      <c r="D138" s="742"/>
      <c r="E138" s="742"/>
      <c r="F138" s="742"/>
      <c r="G138" s="742"/>
      <c r="I138" s="586"/>
      <c r="J138" s="584"/>
      <c r="K138" s="584"/>
      <c r="L138" s="584"/>
      <c r="M138" s="584"/>
      <c r="N138" s="584"/>
      <c r="O138" s="584"/>
      <c r="P138" s="598"/>
      <c r="Q138" s="587"/>
      <c r="R138" s="593"/>
      <c r="S138" s="814" t="s">
        <v>105</v>
      </c>
      <c r="T138" s="814"/>
      <c r="U138" s="814"/>
      <c r="V138" s="598"/>
    </row>
    <row r="139" spans="1:22" ht="29.25" customHeight="1" x14ac:dyDescent="0.2">
      <c r="A139" s="752"/>
      <c r="B139" s="752"/>
      <c r="C139" s="752"/>
      <c r="D139" s="752"/>
      <c r="E139" s="752"/>
      <c r="F139" s="752"/>
      <c r="G139" s="752"/>
      <c r="I139" s="587"/>
      <c r="J139" s="587"/>
      <c r="K139" s="587"/>
      <c r="L139" s="587"/>
      <c r="M139" s="587"/>
      <c r="N139" s="587"/>
      <c r="O139" s="587"/>
      <c r="P139" s="587"/>
      <c r="Q139" s="587"/>
      <c r="R139" s="593"/>
      <c r="S139" s="603"/>
      <c r="T139" s="603"/>
      <c r="U139" s="603"/>
      <c r="V139" s="587"/>
    </row>
    <row r="140" spans="1:22" ht="27" customHeight="1" x14ac:dyDescent="0.2">
      <c r="A140" s="752"/>
      <c r="B140" s="752"/>
      <c r="C140" s="752"/>
      <c r="D140" s="752"/>
      <c r="E140" s="752"/>
      <c r="F140" s="752"/>
      <c r="G140" s="752"/>
      <c r="I140" s="587"/>
      <c r="J140" s="587"/>
      <c r="K140" s="587"/>
      <c r="L140" s="587"/>
      <c r="M140" s="587"/>
      <c r="N140" s="587"/>
      <c r="O140" s="587"/>
      <c r="P140" s="587"/>
      <c r="Q140" s="587"/>
      <c r="R140" s="593"/>
      <c r="S140" s="603"/>
      <c r="T140" s="603"/>
      <c r="U140" s="603"/>
      <c r="V140" s="587"/>
    </row>
    <row r="141" spans="1:22" ht="18.75" customHeight="1" x14ac:dyDescent="0.2">
      <c r="A141" s="752"/>
      <c r="B141" s="752"/>
      <c r="C141" s="752"/>
      <c r="D141" s="752"/>
      <c r="E141" s="752"/>
      <c r="F141" s="752"/>
      <c r="G141" s="752"/>
      <c r="I141" s="587"/>
      <c r="J141" s="587"/>
      <c r="K141" s="587"/>
      <c r="L141" s="587"/>
      <c r="M141" s="587"/>
      <c r="N141" s="587"/>
      <c r="O141" s="587"/>
      <c r="P141" s="587"/>
      <c r="Q141" s="587"/>
      <c r="R141" s="593"/>
      <c r="S141" s="603"/>
      <c r="T141" s="603"/>
      <c r="U141" s="603"/>
      <c r="V141" s="587"/>
    </row>
    <row r="142" spans="1:22" ht="18.75" customHeight="1" x14ac:dyDescent="0.2">
      <c r="A142" s="752"/>
      <c r="B142" s="752"/>
      <c r="C142" s="752"/>
      <c r="D142" s="752"/>
      <c r="E142" s="752"/>
      <c r="F142" s="752"/>
      <c r="G142" s="752"/>
      <c r="I142" s="587"/>
      <c r="J142" s="587"/>
      <c r="K142" s="587"/>
      <c r="L142" s="587"/>
      <c r="M142" s="587"/>
      <c r="N142" s="587"/>
      <c r="O142" s="587"/>
      <c r="P142" s="587"/>
      <c r="Q142" s="587"/>
      <c r="R142" s="586"/>
      <c r="S142" s="604" t="s">
        <v>106</v>
      </c>
      <c r="T142" s="604" t="s">
        <v>107</v>
      </c>
      <c r="U142" s="604" t="s">
        <v>108</v>
      </c>
      <c r="V142" s="587"/>
    </row>
    <row r="143" spans="1:22" ht="20.25" customHeight="1" x14ac:dyDescent="0.2">
      <c r="A143" s="752"/>
      <c r="B143" s="752"/>
      <c r="C143" s="752"/>
      <c r="D143" s="752"/>
      <c r="E143" s="752"/>
      <c r="F143" s="752"/>
      <c r="G143" s="752"/>
      <c r="I143" s="587"/>
      <c r="J143" s="587"/>
      <c r="K143" s="587"/>
      <c r="L143" s="587"/>
      <c r="M143" s="587"/>
      <c r="N143" s="587"/>
      <c r="O143" s="587"/>
      <c r="P143" s="587"/>
      <c r="Q143" s="587"/>
      <c r="R143" s="603" t="s">
        <v>103</v>
      </c>
      <c r="S143" s="603" t="s">
        <v>112</v>
      </c>
      <c r="T143" s="603" t="s">
        <v>38</v>
      </c>
      <c r="U143" s="603" t="s">
        <v>37</v>
      </c>
      <c r="V143" s="587"/>
    </row>
    <row r="144" spans="1:22" ht="13.5" customHeight="1" x14ac:dyDescent="0.2">
      <c r="A144" s="752"/>
      <c r="B144" s="752"/>
      <c r="C144" s="752"/>
      <c r="D144" s="752"/>
      <c r="E144" s="752"/>
      <c r="F144" s="752"/>
      <c r="G144" s="752"/>
      <c r="I144" s="587"/>
      <c r="J144" s="587"/>
      <c r="K144" s="587"/>
      <c r="L144" s="587"/>
      <c r="M144" s="587"/>
      <c r="N144" s="587"/>
      <c r="O144" s="587"/>
      <c r="P144" s="587"/>
      <c r="Q144" s="587"/>
      <c r="R144" s="605" t="s">
        <v>104</v>
      </c>
      <c r="S144" s="606" t="s">
        <v>109</v>
      </c>
      <c r="T144" s="604" t="s">
        <v>110</v>
      </c>
      <c r="U144" s="604" t="s">
        <v>111</v>
      </c>
      <c r="V144" s="587"/>
    </row>
    <row r="145" spans="1:22" ht="12.6" x14ac:dyDescent="0.2">
      <c r="A145" s="752"/>
      <c r="B145" s="752"/>
      <c r="C145" s="752"/>
      <c r="D145" s="752"/>
      <c r="E145" s="752"/>
      <c r="F145" s="752"/>
      <c r="G145" s="752"/>
      <c r="I145" s="587"/>
      <c r="J145" s="587"/>
      <c r="K145" s="587"/>
      <c r="L145" s="587"/>
      <c r="M145" s="587"/>
      <c r="N145" s="587"/>
      <c r="O145" s="587"/>
      <c r="P145" s="587"/>
      <c r="Q145" s="587"/>
      <c r="R145" s="587"/>
      <c r="S145" s="587"/>
      <c r="T145" s="587"/>
      <c r="U145" s="587"/>
      <c r="V145" s="587"/>
    </row>
    <row r="146" spans="1:22" x14ac:dyDescent="0.2">
      <c r="A146" s="812"/>
      <c r="B146" s="812"/>
      <c r="C146" s="812"/>
      <c r="D146" s="812"/>
      <c r="E146" s="812"/>
      <c r="F146" s="812"/>
      <c r="G146" s="812"/>
      <c r="I146" s="587"/>
      <c r="J146" s="587"/>
      <c r="K146" s="587"/>
      <c r="L146" s="587"/>
      <c r="M146" s="587"/>
      <c r="N146" s="587"/>
      <c r="O146" s="587"/>
      <c r="P146" s="587"/>
      <c r="Q146" s="587"/>
      <c r="R146" s="587"/>
      <c r="S146" s="587"/>
      <c r="T146" s="587"/>
      <c r="U146" s="587"/>
      <c r="V146" s="587"/>
    </row>
    <row r="147" spans="1:22" x14ac:dyDescent="0.2">
      <c r="A147" s="63"/>
      <c r="B147" s="607"/>
      <c r="C147" s="63"/>
      <c r="D147" s="63"/>
      <c r="E147" s="63"/>
      <c r="F147" s="63"/>
      <c r="G147" s="63"/>
      <c r="I147" s="587"/>
      <c r="J147" s="587"/>
      <c r="K147" s="587"/>
      <c r="L147" s="587"/>
      <c r="M147" s="587"/>
      <c r="N147" s="587"/>
      <c r="O147" s="587"/>
      <c r="P147" s="587"/>
      <c r="Q147" s="587"/>
      <c r="R147" s="587"/>
      <c r="S147" s="587"/>
      <c r="T147" s="587"/>
      <c r="U147" s="587"/>
      <c r="V147" s="587"/>
    </row>
    <row r="148" spans="1:22" x14ac:dyDescent="0.2">
      <c r="A148" s="63"/>
      <c r="B148" s="63"/>
      <c r="C148" s="63"/>
      <c r="D148" s="63"/>
      <c r="E148" s="63"/>
      <c r="F148" s="63"/>
      <c r="G148" s="63"/>
      <c r="I148" s="587"/>
      <c r="J148" s="587"/>
      <c r="K148" s="587"/>
      <c r="L148" s="587"/>
      <c r="M148" s="587"/>
      <c r="N148" s="587"/>
      <c r="O148" s="587"/>
      <c r="P148" s="587"/>
      <c r="Q148" s="587"/>
      <c r="R148" s="587"/>
      <c r="S148" s="587"/>
      <c r="T148" s="587"/>
      <c r="U148" s="587"/>
      <c r="V148" s="587"/>
    </row>
    <row r="149" spans="1:22" ht="21" customHeight="1" x14ac:dyDescent="0.2">
      <c r="A149" s="753"/>
      <c r="B149" s="753"/>
      <c r="C149" s="753"/>
      <c r="D149" s="753"/>
      <c r="E149" s="753"/>
      <c r="F149" s="753"/>
      <c r="G149" s="753"/>
      <c r="I149" s="587"/>
      <c r="J149" s="587"/>
      <c r="K149" s="587"/>
      <c r="L149" s="587"/>
      <c r="M149" s="587"/>
      <c r="N149" s="587"/>
      <c r="O149" s="587"/>
      <c r="P149" s="587"/>
      <c r="Q149" s="587"/>
      <c r="R149" s="587"/>
      <c r="S149" s="587"/>
      <c r="T149" s="587"/>
      <c r="U149" s="587"/>
      <c r="V149" s="587"/>
    </row>
    <row r="150" spans="1:22" ht="29.25" customHeight="1" x14ac:dyDescent="0.2">
      <c r="A150" s="752"/>
      <c r="B150" s="799"/>
      <c r="C150" s="799"/>
      <c r="D150" s="799"/>
      <c r="E150" s="799"/>
      <c r="F150" s="799"/>
      <c r="G150" s="800"/>
      <c r="I150" s="587"/>
      <c r="J150" s="587"/>
      <c r="K150" s="587"/>
      <c r="L150" s="587"/>
      <c r="M150" s="587"/>
      <c r="N150" s="587"/>
      <c r="O150" s="587"/>
      <c r="P150" s="587"/>
      <c r="Q150" s="587"/>
      <c r="R150" s="587"/>
      <c r="S150" s="587"/>
      <c r="T150" s="587"/>
      <c r="U150" s="587"/>
      <c r="V150" s="587"/>
    </row>
    <row r="151" spans="1:22" ht="31.5" customHeight="1" x14ac:dyDescent="0.2">
      <c r="A151" s="752"/>
      <c r="B151" s="752"/>
      <c r="C151" s="752"/>
      <c r="D151" s="752"/>
      <c r="E151" s="752"/>
      <c r="F151" s="752"/>
      <c r="G151" s="752"/>
    </row>
    <row r="152" spans="1:22" ht="12.6" x14ac:dyDescent="0.2">
      <c r="A152" s="752"/>
      <c r="B152" s="752"/>
      <c r="C152" s="752"/>
      <c r="D152" s="752"/>
      <c r="E152" s="752"/>
      <c r="F152" s="752"/>
      <c r="G152" s="752"/>
    </row>
    <row r="153" spans="1:22" x14ac:dyDescent="0.2">
      <c r="A153" s="63"/>
      <c r="B153" s="63"/>
      <c r="C153" s="63"/>
      <c r="D153" s="63"/>
      <c r="E153" s="63"/>
      <c r="F153" s="63"/>
      <c r="G153" s="63"/>
    </row>
    <row r="154" spans="1:22" x14ac:dyDescent="0.2">
      <c r="A154" s="63"/>
      <c r="B154" s="63"/>
      <c r="C154" s="63"/>
      <c r="D154" s="63"/>
      <c r="E154" s="63"/>
      <c r="F154" s="63"/>
      <c r="G154" s="63"/>
    </row>
  </sheetData>
  <autoFilter ref="H18:H33" xr:uid="{00000000-0009-0000-0000-000000000000}"/>
  <mergeCells count="45">
    <mergeCell ref="A46:G46"/>
    <mergeCell ref="A47:G47"/>
    <mergeCell ref="B50:C50"/>
    <mergeCell ref="A7:C7"/>
    <mergeCell ref="A16:G16"/>
    <mergeCell ref="B17:B18"/>
    <mergeCell ref="A9:F9"/>
    <mergeCell ref="A10:F10"/>
    <mergeCell ref="A45:G45"/>
    <mergeCell ref="C1:G1"/>
    <mergeCell ref="A2:C2"/>
    <mergeCell ref="A5:C5"/>
    <mergeCell ref="A6:C6"/>
    <mergeCell ref="A4:C4"/>
    <mergeCell ref="S138:U138"/>
    <mergeCell ref="A138:G138"/>
    <mergeCell ref="A142:G142"/>
    <mergeCell ref="A141:G141"/>
    <mergeCell ref="A63:G63"/>
    <mergeCell ref="A140:G140"/>
    <mergeCell ref="A139:G139"/>
    <mergeCell ref="A60:C60"/>
    <mergeCell ref="B51:C51"/>
    <mergeCell ref="A12:B12"/>
    <mergeCell ref="A82:G82"/>
    <mergeCell ref="A149:G149"/>
    <mergeCell ref="C17:C18"/>
    <mergeCell ref="D17:D18"/>
    <mergeCell ref="E17:E18"/>
    <mergeCell ref="A19:F19"/>
    <mergeCell ref="A24:F24"/>
    <mergeCell ref="A35:F35"/>
    <mergeCell ref="B36:F36"/>
    <mergeCell ref="A39:G39"/>
    <mergeCell ref="A40:G40"/>
    <mergeCell ref="A41:C41"/>
    <mergeCell ref="A44:G44"/>
    <mergeCell ref="A150:G150"/>
    <mergeCell ref="A151:G151"/>
    <mergeCell ref="A152:G152"/>
    <mergeCell ref="A81:G81"/>
    <mergeCell ref="A143:G143"/>
    <mergeCell ref="A144:G144"/>
    <mergeCell ref="A145:G145"/>
    <mergeCell ref="A146:G146"/>
  </mergeCells>
  <phoneticPr fontId="18" type="noConversion"/>
  <conditionalFormatting sqref="A12:B12 C13:D13">
    <cfRule type="expression" dxfId="42" priority="3">
      <formula>$D$13="x"</formula>
    </cfRule>
  </conditionalFormatting>
  <conditionalFormatting sqref="A12:D12">
    <cfRule type="expression" dxfId="41" priority="4">
      <formula>$D$12="x"</formula>
    </cfRule>
  </conditionalFormatting>
  <conditionalFormatting sqref="C11:D11 A12:B12">
    <cfRule type="expression" dxfId="40" priority="5">
      <formula>$D$11="x"</formula>
    </cfRule>
  </conditionalFormatting>
  <conditionalFormatting sqref="G10">
    <cfRule type="cellIs" dxfId="39" priority="1" operator="between">
      <formula>51.1</formula>
      <formula>400</formula>
    </cfRule>
    <cfRule type="cellIs" dxfId="38" priority="2" operator="between">
      <formula>1.8</formula>
      <formula>51</formula>
    </cfRule>
  </conditionalFormatting>
  <hyperlinks>
    <hyperlink ref="B53" r:id="rId1" xr:uid="{3E12BC1C-4427-4161-BD68-D23A6ABBEA9A}"/>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3B838-ECE3-487C-968A-86483E2EC95E}">
  <sheetPr codeName="Foaie5">
    <tabColor theme="2" tint="-0.249977111117893"/>
  </sheetPr>
  <dimension ref="A1:T166"/>
  <sheetViews>
    <sheetView zoomScaleNormal="100" zoomScaleSheetLayoutView="100" workbookViewId="0">
      <selection activeCell="K5" sqref="K5"/>
    </sheetView>
  </sheetViews>
  <sheetFormatPr defaultColWidth="9.109375" defaultRowHeight="11.4" x14ac:dyDescent="0.2"/>
  <cols>
    <col min="1" max="1" width="6" style="5" customWidth="1"/>
    <col min="2" max="2" width="8.77734375" style="5" customWidth="1"/>
    <col min="3" max="3" width="61.109375" style="5" customWidth="1"/>
    <col min="4" max="4" width="8.33203125" style="5" customWidth="1"/>
    <col min="5" max="5" width="5.77734375" style="5" customWidth="1"/>
    <col min="6" max="6" width="10.109375" style="5" customWidth="1"/>
    <col min="7" max="7" width="10.6640625" style="5" customWidth="1"/>
    <col min="8" max="8" width="6.33203125" style="5" customWidth="1"/>
    <col min="9" max="9" width="9.33203125" style="58" customWidth="1"/>
    <col min="10" max="10" width="10.77734375" style="5" customWidth="1"/>
    <col min="11" max="11" width="8.6640625" style="5" customWidth="1"/>
    <col min="12" max="12" width="8.77734375" style="68" customWidth="1"/>
    <col min="13" max="14" width="8.77734375" style="5" customWidth="1"/>
    <col min="15" max="16" width="9.109375" style="5"/>
    <col min="17" max="17" width="14.77734375" style="5" customWidth="1"/>
    <col min="18" max="19" width="8.77734375" style="5" customWidth="1"/>
    <col min="20" max="20" width="11.21875" style="5" customWidth="1"/>
    <col min="21" max="16384" width="9.109375" style="5"/>
  </cols>
  <sheetData>
    <row r="1" spans="1:20" ht="129.44999999999999" customHeight="1" x14ac:dyDescent="0.2">
      <c r="C1" s="734" t="s">
        <v>449</v>
      </c>
      <c r="D1" s="734"/>
      <c r="E1" s="734"/>
      <c r="F1" s="734"/>
      <c r="G1" s="734"/>
      <c r="H1" s="8"/>
      <c r="I1" s="80"/>
      <c r="J1" s="8"/>
      <c r="K1" s="8"/>
    </row>
    <row r="2" spans="1:20" ht="14.4" x14ac:dyDescent="0.3">
      <c r="A2" s="739" t="s">
        <v>493</v>
      </c>
      <c r="B2" s="740"/>
      <c r="C2" s="740"/>
    </row>
    <row r="3" spans="1:20" ht="14.4" x14ac:dyDescent="0.3">
      <c r="A3" s="2"/>
      <c r="B3"/>
      <c r="C3"/>
    </row>
    <row r="4" spans="1:20" ht="14.4" x14ac:dyDescent="0.3">
      <c r="A4" s="739" t="s">
        <v>77</v>
      </c>
      <c r="B4" s="740"/>
      <c r="C4" s="740"/>
    </row>
    <row r="5" spans="1:20" ht="14.4" x14ac:dyDescent="0.3">
      <c r="A5" s="739" t="s">
        <v>78</v>
      </c>
      <c r="B5" s="740"/>
      <c r="C5" s="740"/>
    </row>
    <row r="6" spans="1:20" ht="14.4" x14ac:dyDescent="0.3">
      <c r="A6" s="739" t="s">
        <v>13</v>
      </c>
      <c r="B6" s="740"/>
      <c r="C6" s="740"/>
    </row>
    <row r="7" spans="1:20" ht="14.4" x14ac:dyDescent="0.3">
      <c r="A7" s="739" t="s">
        <v>17</v>
      </c>
      <c r="B7" s="740"/>
      <c r="C7" s="740"/>
    </row>
    <row r="9" spans="1:20" ht="25.95" customHeight="1" thickBot="1" x14ac:dyDescent="0.25">
      <c r="A9" s="735" t="s">
        <v>0</v>
      </c>
      <c r="B9" s="735"/>
      <c r="C9" s="735"/>
      <c r="D9" s="735"/>
      <c r="E9" s="735"/>
      <c r="F9" s="735"/>
      <c r="G9" s="27" t="s">
        <v>152</v>
      </c>
      <c r="H9" s="3"/>
      <c r="I9" s="59"/>
      <c r="J9" s="4"/>
      <c r="K9" s="4"/>
      <c r="L9" s="10"/>
      <c r="M9" s="4"/>
      <c r="N9" s="4"/>
      <c r="O9" s="4"/>
      <c r="P9" s="4"/>
      <c r="Q9" s="4"/>
      <c r="R9" s="4"/>
      <c r="S9" s="4"/>
      <c r="T9" s="4"/>
    </row>
    <row r="10" spans="1:20" ht="30" customHeight="1" thickTop="1" thickBot="1" x14ac:dyDescent="0.25">
      <c r="A10" s="735" t="s">
        <v>46</v>
      </c>
      <c r="B10" s="735"/>
      <c r="C10" s="735"/>
      <c r="D10" s="735"/>
      <c r="E10" s="735"/>
      <c r="F10" s="735"/>
      <c r="G10" s="559"/>
      <c r="H10" s="3"/>
      <c r="I10" s="59"/>
      <c r="J10" s="4"/>
      <c r="K10" s="4"/>
      <c r="L10" s="10"/>
      <c r="M10" s="4"/>
      <c r="N10" s="4"/>
      <c r="O10" s="4"/>
      <c r="P10" s="4"/>
      <c r="Q10" s="4"/>
      <c r="R10" s="4"/>
      <c r="S10" s="4"/>
      <c r="T10" s="4"/>
    </row>
    <row r="11" spans="1:20" ht="16.05" customHeight="1" thickTop="1" thickBot="1" x14ac:dyDescent="0.25">
      <c r="A11" s="53"/>
      <c r="B11" s="53"/>
      <c r="C11" s="680" t="s">
        <v>156</v>
      </c>
      <c r="D11" s="57"/>
      <c r="E11" s="3"/>
      <c r="F11" s="3"/>
      <c r="G11" s="3"/>
      <c r="H11" s="3"/>
      <c r="I11" s="59"/>
      <c r="J11" s="4"/>
      <c r="K11" s="4"/>
      <c r="L11" s="10"/>
      <c r="M11" s="4"/>
      <c r="N11" s="4"/>
      <c r="O11" s="4"/>
      <c r="P11" s="4"/>
      <c r="Q11" s="4"/>
      <c r="R11" s="4"/>
      <c r="S11" s="4"/>
      <c r="T11" s="4"/>
    </row>
    <row r="12" spans="1:20" ht="16.05" customHeight="1" thickTop="1" thickBot="1" x14ac:dyDescent="0.25">
      <c r="A12" s="796" t="s">
        <v>145</v>
      </c>
      <c r="B12" s="797"/>
      <c r="C12" s="680" t="s">
        <v>158</v>
      </c>
      <c r="D12" s="57"/>
      <c r="E12" s="3"/>
      <c r="F12" s="3"/>
      <c r="G12" s="3"/>
      <c r="H12" s="3"/>
      <c r="I12" s="59"/>
      <c r="J12" s="4"/>
      <c r="K12" s="4"/>
      <c r="L12" s="10"/>
      <c r="M12" s="4"/>
      <c r="N12" s="4"/>
      <c r="O12" s="4"/>
      <c r="P12" s="4"/>
      <c r="Q12" s="4"/>
      <c r="R12" s="4"/>
      <c r="S12" s="4"/>
      <c r="T12" s="4"/>
    </row>
    <row r="13" spans="1:20" ht="16.05" customHeight="1" thickTop="1" thickBot="1" x14ac:dyDescent="0.25">
      <c r="A13" s="53"/>
      <c r="B13" s="53"/>
      <c r="C13" s="680" t="s">
        <v>157</v>
      </c>
      <c r="D13" s="57"/>
      <c r="E13" s="3"/>
      <c r="F13" s="3"/>
      <c r="G13" s="3"/>
      <c r="H13" s="3"/>
      <c r="I13" s="59"/>
      <c r="J13" s="4"/>
      <c r="K13" s="4"/>
      <c r="L13" s="10"/>
      <c r="M13" s="4"/>
      <c r="N13" s="4"/>
      <c r="O13" s="4"/>
      <c r="P13" s="4"/>
      <c r="Q13" s="4"/>
      <c r="R13" s="4"/>
      <c r="S13" s="4"/>
      <c r="T13" s="4"/>
    </row>
    <row r="14" spans="1:20" ht="50.25" customHeight="1" thickTop="1" x14ac:dyDescent="0.2">
      <c r="A14" s="53"/>
      <c r="B14" s="53"/>
      <c r="C14" s="79"/>
      <c r="D14" s="78"/>
      <c r="E14" s="3"/>
      <c r="F14" s="3"/>
      <c r="G14" s="3"/>
      <c r="H14" s="3"/>
      <c r="I14" s="59"/>
      <c r="J14" s="4"/>
      <c r="K14" s="4"/>
      <c r="L14" s="10"/>
      <c r="M14" s="4"/>
      <c r="N14" s="4"/>
      <c r="O14" s="4"/>
      <c r="P14" s="4"/>
      <c r="Q14" s="4"/>
      <c r="R14" s="4"/>
      <c r="S14" s="4"/>
      <c r="T14" s="4"/>
    </row>
    <row r="15" spans="1:20" ht="46.5" customHeight="1" x14ac:dyDescent="0.2">
      <c r="A15" s="53"/>
      <c r="B15" s="53"/>
      <c r="C15" s="79"/>
      <c r="D15" s="78"/>
      <c r="E15" s="3"/>
      <c r="F15" s="3"/>
      <c r="G15" s="3"/>
      <c r="H15" s="3"/>
      <c r="I15" s="572"/>
      <c r="J15" s="4"/>
      <c r="K15" s="4"/>
      <c r="L15" s="10"/>
      <c r="M15" s="4"/>
      <c r="N15" s="4"/>
      <c r="O15" s="4"/>
      <c r="P15" s="4"/>
      <c r="Q15" s="4"/>
      <c r="R15" s="4"/>
      <c r="S15" s="4"/>
      <c r="T15" s="4"/>
    </row>
    <row r="16" spans="1:20" ht="18.75" customHeight="1" thickBot="1" x14ac:dyDescent="0.45">
      <c r="A16" s="741" t="s">
        <v>122</v>
      </c>
      <c r="B16" s="795"/>
      <c r="C16" s="795"/>
      <c r="D16" s="795"/>
      <c r="E16" s="795"/>
      <c r="F16" s="795"/>
      <c r="G16" s="795"/>
      <c r="H16" s="4"/>
      <c r="I16" s="572"/>
      <c r="J16" s="4"/>
      <c r="K16" s="4"/>
      <c r="L16" s="10"/>
      <c r="M16" s="4"/>
      <c r="N16" s="4"/>
      <c r="O16" s="4"/>
      <c r="P16" s="4"/>
      <c r="Q16" s="4"/>
      <c r="R16" s="4"/>
      <c r="S16" s="4"/>
      <c r="T16" s="4"/>
    </row>
    <row r="17" spans="1:20" ht="25.5" customHeight="1" thickTop="1" thickBot="1" x14ac:dyDescent="0.25">
      <c r="A17" s="26" t="s">
        <v>1</v>
      </c>
      <c r="B17" s="737" t="s">
        <v>3</v>
      </c>
      <c r="C17" s="737" t="s">
        <v>4</v>
      </c>
      <c r="D17" s="737" t="s">
        <v>5</v>
      </c>
      <c r="E17" s="737" t="s">
        <v>6</v>
      </c>
      <c r="F17" s="26" t="s">
        <v>7</v>
      </c>
      <c r="G17" s="26" t="s">
        <v>9</v>
      </c>
      <c r="H17" s="4"/>
      <c r="I17" s="572"/>
      <c r="J17" s="4"/>
      <c r="K17" s="4"/>
      <c r="L17" s="10"/>
      <c r="M17" s="27"/>
      <c r="N17" s="27"/>
      <c r="O17" s="4"/>
      <c r="P17" s="4"/>
      <c r="Q17" s="4"/>
      <c r="R17" s="4"/>
      <c r="S17" s="4"/>
      <c r="T17" s="4"/>
    </row>
    <row r="18" spans="1:20" ht="27.75" customHeight="1" thickTop="1" thickBot="1" x14ac:dyDescent="0.25">
      <c r="A18" s="26" t="s">
        <v>2</v>
      </c>
      <c r="B18" s="737"/>
      <c r="C18" s="737"/>
      <c r="D18" s="737"/>
      <c r="E18" s="737"/>
      <c r="F18" s="26" t="s">
        <v>8</v>
      </c>
      <c r="G18" s="26" t="s">
        <v>8</v>
      </c>
      <c r="H18" s="4"/>
      <c r="I18" s="84" t="s">
        <v>139</v>
      </c>
      <c r="J18" s="4"/>
      <c r="K18" s="4"/>
      <c r="L18" s="10"/>
      <c r="M18" s="9"/>
      <c r="N18" s="9"/>
      <c r="O18" s="4"/>
      <c r="P18" s="4"/>
      <c r="Q18" s="4"/>
      <c r="R18" s="4"/>
      <c r="S18" s="4"/>
      <c r="T18" s="4"/>
    </row>
    <row r="19" spans="1:20" ht="16.05" customHeight="1" thickTop="1" thickBot="1" x14ac:dyDescent="0.25">
      <c r="A19" s="798" t="s">
        <v>76</v>
      </c>
      <c r="B19" s="783"/>
      <c r="C19" s="783"/>
      <c r="D19" s="783"/>
      <c r="E19" s="783"/>
      <c r="F19" s="783"/>
      <c r="G19" s="13"/>
      <c r="H19" s="59">
        <f>SUM(H20:H23)</f>
        <v>0</v>
      </c>
      <c r="I19" s="85" t="s">
        <v>140</v>
      </c>
      <c r="J19" s="4"/>
      <c r="K19" s="4"/>
      <c r="L19" s="10"/>
      <c r="M19" s="4"/>
      <c r="N19" s="4"/>
      <c r="O19" s="4"/>
      <c r="P19" s="4"/>
      <c r="Q19" s="4"/>
      <c r="R19" s="4"/>
      <c r="S19" s="4"/>
      <c r="T19" s="4"/>
    </row>
    <row r="20" spans="1:20" ht="16.05" customHeight="1" thickTop="1" thickBot="1" x14ac:dyDescent="0.25">
      <c r="A20" s="16"/>
      <c r="B20" s="17">
        <v>126002</v>
      </c>
      <c r="C20" s="18" t="s">
        <v>407</v>
      </c>
      <c r="D20" s="19" t="s">
        <v>10</v>
      </c>
      <c r="E20" s="19">
        <f>IF(OR(AND(G10&gt;=2,G10&lt;=4.9),AND(G10&gt;=7,G10&lt;=7.9),AND(G10&gt;12,G10&lt;=12.9),AND(G10&gt;=17,G10&lt;=17.9),AND(G10&gt;=22,G10&lt;=22.9),AND(G10&gt;=27,G10&lt;=27.9),AND(G10&gt;=34,G10&lt;=34.9),AND(G10&gt;=37,G10&lt;=37.9),AND(G10&gt;=42,G10&lt;=42.9),AND(G10&gt;=47,G10&lt;=47.9),AND(G10&gt;=52,G10&lt;=52.9)),1,IF(OR(AND(G10&gt;=4, G10&lt;=4.9),AND(G10&gt;=9,G10&lt;=9.9),AND(G10&gt;=14,G10&lt;=14.9),AND(G10&gt;=19,G10&lt;=19.9)), 2, IF(OR(AND(G10&gt;=6, G10&lt;=6.9)), 3, 0)))</f>
        <v>0</v>
      </c>
      <c r="F20" s="632">
        <v>92</v>
      </c>
      <c r="G20" s="20">
        <f>E20*F20</f>
        <v>0</v>
      </c>
      <c r="H20" s="59">
        <f>E20</f>
        <v>0</v>
      </c>
      <c r="I20" s="85">
        <f>E20*600</f>
        <v>0</v>
      </c>
      <c r="J20" s="4"/>
      <c r="K20" s="4"/>
      <c r="L20" s="10"/>
      <c r="M20" s="4"/>
      <c r="N20" s="4"/>
      <c r="O20" s="4"/>
      <c r="P20" s="4"/>
      <c r="Q20" s="4"/>
      <c r="R20" s="4"/>
      <c r="S20" s="4"/>
      <c r="T20" s="4"/>
    </row>
    <row r="21" spans="1:20" ht="16.05" customHeight="1" thickTop="1" thickBot="1" x14ac:dyDescent="0.25">
      <c r="A21" s="16"/>
      <c r="B21" s="17">
        <v>126005</v>
      </c>
      <c r="C21" s="18" t="s">
        <v>408</v>
      </c>
      <c r="D21" s="19" t="s">
        <v>10</v>
      </c>
      <c r="E21" s="19">
        <f>IF(OR(AND(G10&gt;=5,G10&lt;=5.9),AND(G10&gt;=7,G10&lt;=7.9),AND(G10&gt;=9,G10&lt;=9.9),AND(G10&gt;=13,G10&lt;=13.9),AND(G10&gt;=15,G10&lt;=15.9),AND(G10&gt;=17,G10&lt;=17.9),AND(G10&gt;=19,G10&lt;=19.9),AND(G10&gt;=21,G10&lt;=21.9),AND(G10&gt;=23,G10&lt;=23.9),AND(G10&gt;=25,G10&lt;=25.9),AND(G10&gt;=27,G10&lt;=27.9),AND(G10&gt;=29,G10&lt;=29.9),AND(G10&gt;=31,G10&lt;=31.9),AND(G10&gt;33,G10&lt;=33.9),AND(G10&gt;=35,G10&lt;=35.9),AND(G10&gt;=37,G10&lt;=37.9),AND(G10&gt;=43,G10&lt;=43.9),AND(G10&gt;=45,G10&lt;=45.9),AND(G10&gt;=47,G10&lt;=47.9),AND(G10&gt;=49,G10&lt;=49.9),AND(G10&gt;=53,G10&lt;=53.9),AND(G10&gt;=55,G10&lt;=55.9)),1,IF(OR(AND(G10&gt;=39,G10&lt;=39.9)),3,0))</f>
        <v>0</v>
      </c>
      <c r="F21" s="632">
        <v>161</v>
      </c>
      <c r="G21" s="20">
        <f>E21*F21</f>
        <v>0</v>
      </c>
      <c r="H21" s="59">
        <f>E21</f>
        <v>0</v>
      </c>
      <c r="I21" s="85">
        <f>E21*1500</f>
        <v>0</v>
      </c>
      <c r="J21" s="4"/>
      <c r="K21" s="4"/>
      <c r="L21" s="10"/>
      <c r="M21" s="4"/>
      <c r="N21" s="4"/>
      <c r="O21" s="4"/>
      <c r="P21" s="4"/>
      <c r="Q21" s="4"/>
      <c r="R21" s="4"/>
      <c r="S21" s="4"/>
      <c r="T21" s="4"/>
    </row>
    <row r="22" spans="1:20" ht="16.05" customHeight="1" thickTop="1" thickBot="1" x14ac:dyDescent="0.25">
      <c r="A22" s="16"/>
      <c r="B22" s="17">
        <v>126008</v>
      </c>
      <c r="C22" s="18" t="s">
        <v>409</v>
      </c>
      <c r="D22" s="19" t="s">
        <v>10</v>
      </c>
      <c r="E22" s="19">
        <f>IF(OR(AND(G10&gt;=8,G10&lt;=8.9),AND(G10&gt;=13,G10&lt;=13.9),AND(G10&gt;=18,G10&lt;=18.9),AND(G10&gt;=23,G10&lt;=23.9),AND(G10&gt;=28,G10&lt;=28.9),AND(G10&gt;=33,G10&lt;=33.9),AND(G10&gt;=38,G10&lt;=38.9),AND(G10&gt;=43,G10&lt;=43.9),AND(G10&gt;=48,G10&lt;=48.9),AND(G10&gt;=53,G10&lt;=53.9),AND(G10&gt;=58,G10&lt;=59.9)),1,IF(OR(AND(G10&gt;=16,G10&lt;=16.9),AND(G10&gt;=21,G10&lt;=21.9),AND(G10&gt;=23,G10&lt;=23.9),AND(G10&gt;=26,G10&lt;=26.9),AND(G10&gt;=31,G10&lt;=31.9),AND(G10&gt;=36,G10&lt;=37.9),AND(G10&gt;=46,G10&lt;=46.9)),2,IF(OR(AND(G10&gt;=24,G10&lt;=24.9),AND(G10&gt;=39,G10&lt;=39.9),AND(G10&gt;=41,G10&lt;=41.9),AND(G10&gt;=49,G10&lt;=49.9),AND(G10&gt;=54,G10&lt;=54.9)),3,IF(OR(AND(G10&gt;=32,G10&lt;=32.9),AND(G10&gt;=34,G10&lt;=34.9)),4,0))))</f>
        <v>0</v>
      </c>
      <c r="F22" s="632">
        <v>257</v>
      </c>
      <c r="G22" s="20">
        <f>E22*F22</f>
        <v>0</v>
      </c>
      <c r="H22" s="59">
        <f>E22</f>
        <v>0</v>
      </c>
      <c r="I22" s="85">
        <f>E22*2400</f>
        <v>0</v>
      </c>
      <c r="J22" s="4"/>
      <c r="K22" s="4"/>
      <c r="L22" s="10"/>
      <c r="M22" s="4"/>
      <c r="N22" s="4"/>
      <c r="O22" s="4"/>
      <c r="P22" s="4"/>
      <c r="Q22" s="4"/>
      <c r="R22" s="4"/>
      <c r="S22" s="4"/>
      <c r="T22" s="4"/>
    </row>
    <row r="23" spans="1:20" ht="16.05" customHeight="1" thickTop="1" thickBot="1" x14ac:dyDescent="0.25">
      <c r="A23" s="16"/>
      <c r="B23" s="17">
        <v>126010</v>
      </c>
      <c r="C23" s="18" t="s">
        <v>410</v>
      </c>
      <c r="D23" s="19" t="s">
        <v>10</v>
      </c>
      <c r="E23" s="19">
        <f>IF(OR(AND(G10&gt;=10,G10&lt;=12.9),AND(G10&gt;=14,G10&lt;=15.9),AND(G10&gt;=17,G10&lt;=19.9),AND(G10&gt;=23,G10&lt;=23.9),AND(G10&gt;=26,G10&lt;=26.9),AND(G10&gt;=31,G10&lt;=31.9)),1,IF(OR(AND(G10&gt;=20,G10&lt;=20.9),AND(G10&gt;=22,G10&lt;=22.9),AND(G10&gt;=25,G10&lt;=25.9),AND(G10&gt;=27,G10&lt;=29.9),AND(G10&gt;=33,G10&lt;=33.9),AND(G10&gt;=36,G10&lt;=36.9),AND(G10&gt;=49,G10&lt;=49.9)),2,IF(OR(AND(G10&gt;=30,G10&lt;=30.9),AND(G10&gt;=35,G10&lt;=35.9),AND(G10&gt;=37,G10&lt;=38.9),AND(G10&gt;=43,G10&lt;=43.9),AND(G10&gt;=46,G10&lt;=46.9),AND(G10&gt;=54,G10&lt;=54.9)),3,IF(OR(AND(G10&gt;=40,G10&lt;=40.9),AND(G10&gt;=42,G10&lt;=42.9),AND(G10&gt;=44,G10&lt;=45.9),AND(G10&gt;=47,G10&lt;=48.9),AND(G10&gt;=53,G10&lt;=53.9),AND(G10&gt;=56,G10&lt;=57.9)),4,IF(OR(AND(G10&gt;=50,G10&lt;=52.9),AND(G10&gt;=55,G10&lt;=55.5)),5,IF(OR(AND(G10&gt;=59.6,G10&lt;=60)),6,0))))))</f>
        <v>0</v>
      </c>
      <c r="F23" s="632">
        <v>321</v>
      </c>
      <c r="G23" s="20">
        <f>E23*F23</f>
        <v>0</v>
      </c>
      <c r="H23" s="59">
        <f>E23</f>
        <v>0</v>
      </c>
      <c r="I23" s="85">
        <f>E23*3000</f>
        <v>0</v>
      </c>
      <c r="J23" s="4"/>
      <c r="K23" s="4"/>
      <c r="L23" s="10"/>
      <c r="M23" s="4"/>
      <c r="N23" s="4"/>
      <c r="O23" s="4"/>
      <c r="P23" s="4"/>
      <c r="Q23" s="4"/>
      <c r="R23" s="4"/>
      <c r="S23" s="4"/>
      <c r="T23" s="4"/>
    </row>
    <row r="24" spans="1:20" ht="16.05" customHeight="1" thickTop="1" thickBot="1" x14ac:dyDescent="0.25">
      <c r="A24" s="784" t="s">
        <v>40</v>
      </c>
      <c r="B24" s="813"/>
      <c r="C24" s="813"/>
      <c r="D24" s="813"/>
      <c r="E24" s="813"/>
      <c r="F24" s="813"/>
      <c r="G24" s="12"/>
      <c r="H24" s="59">
        <f>SUM(H25:H34)</f>
        <v>0</v>
      </c>
      <c r="I24" s="572"/>
      <c r="J24" s="4"/>
      <c r="K24" s="4"/>
      <c r="L24" s="10"/>
      <c r="M24" s="4"/>
      <c r="N24" s="4" t="s">
        <v>14</v>
      </c>
      <c r="O24" s="4"/>
      <c r="P24" s="4"/>
      <c r="Q24" s="4"/>
      <c r="R24" s="4"/>
      <c r="S24" s="4"/>
      <c r="T24" s="4"/>
    </row>
    <row r="25" spans="1:20" ht="16.05" customHeight="1" thickTop="1" thickBot="1" x14ac:dyDescent="0.25">
      <c r="A25" s="16"/>
      <c r="B25" s="21" t="s">
        <v>37</v>
      </c>
      <c r="C25" s="22" t="s">
        <v>425</v>
      </c>
      <c r="D25" s="16" t="s">
        <v>10</v>
      </c>
      <c r="E25" s="16">
        <f>IF(D13="x", 1, 0)</f>
        <v>0</v>
      </c>
      <c r="F25" s="632">
        <v>242</v>
      </c>
      <c r="G25" s="20">
        <f t="shared" ref="G25:G34" si="0">E25*F25</f>
        <v>0</v>
      </c>
      <c r="H25" s="59">
        <f t="shared" ref="H25:H34" si="1">E25</f>
        <v>0</v>
      </c>
      <c r="I25" s="86"/>
      <c r="J25" s="4"/>
      <c r="K25" s="4"/>
      <c r="L25" s="5"/>
    </row>
    <row r="26" spans="1:20" ht="16.05" customHeight="1" thickTop="1" thickBot="1" x14ac:dyDescent="0.25">
      <c r="A26" s="16"/>
      <c r="B26" s="21" t="s">
        <v>38</v>
      </c>
      <c r="C26" s="22" t="s">
        <v>292</v>
      </c>
      <c r="D26" s="16" t="s">
        <v>10</v>
      </c>
      <c r="E26" s="16">
        <f>IF(D12="x", 1, 0)</f>
        <v>0</v>
      </c>
      <c r="F26" s="632">
        <v>125</v>
      </c>
      <c r="G26" s="20">
        <f t="shared" si="0"/>
        <v>0</v>
      </c>
      <c r="H26" s="59">
        <f t="shared" si="1"/>
        <v>0</v>
      </c>
      <c r="I26" s="5"/>
      <c r="J26" s="4"/>
      <c r="K26" s="4"/>
      <c r="L26" s="5"/>
    </row>
    <row r="27" spans="1:20" ht="16.05" customHeight="1" thickTop="1" thickBot="1" x14ac:dyDescent="0.25">
      <c r="A27" s="16"/>
      <c r="B27" s="21" t="s">
        <v>39</v>
      </c>
      <c r="C27" s="22" t="s">
        <v>426</v>
      </c>
      <c r="D27" s="16" t="s">
        <v>10</v>
      </c>
      <c r="E27" s="16">
        <f>IF(D12="x", 1, IF(D13="x", 2, 0))</f>
        <v>0</v>
      </c>
      <c r="F27" s="632">
        <v>191</v>
      </c>
      <c r="G27" s="20">
        <f t="shared" si="0"/>
        <v>0</v>
      </c>
      <c r="H27" s="59">
        <f t="shared" si="1"/>
        <v>0</v>
      </c>
      <c r="I27" s="5"/>
      <c r="J27" s="4"/>
      <c r="K27" s="4"/>
      <c r="L27" s="5"/>
    </row>
    <row r="28" spans="1:20" ht="25.95" customHeight="1" thickTop="1" thickBot="1" x14ac:dyDescent="0.25">
      <c r="A28" s="16"/>
      <c r="B28" s="21" t="s">
        <v>432</v>
      </c>
      <c r="C28" s="22" t="s">
        <v>433</v>
      </c>
      <c r="D28" s="16" t="s">
        <v>10</v>
      </c>
      <c r="E28" s="16">
        <f>IF(D12="x", 1, 0)</f>
        <v>0</v>
      </c>
      <c r="F28" s="632">
        <v>243</v>
      </c>
      <c r="G28" s="20">
        <f t="shared" si="0"/>
        <v>0</v>
      </c>
      <c r="H28" s="59">
        <f t="shared" si="1"/>
        <v>0</v>
      </c>
      <c r="I28" s="5"/>
      <c r="J28" s="4"/>
      <c r="K28" s="4"/>
      <c r="L28" s="5"/>
      <c r="M28" s="439"/>
      <c r="N28" s="59"/>
    </row>
    <row r="29" spans="1:20" ht="27" customHeight="1" thickTop="1" thickBot="1" x14ac:dyDescent="0.25">
      <c r="A29" s="16"/>
      <c r="B29" s="23">
        <v>892551</v>
      </c>
      <c r="C29" s="62" t="s">
        <v>193</v>
      </c>
      <c r="D29" s="24" t="s">
        <v>10</v>
      </c>
      <c r="E29" s="25">
        <f>IF(D11="x", 1, 0)</f>
        <v>0</v>
      </c>
      <c r="F29" s="632">
        <v>106</v>
      </c>
      <c r="G29" s="20">
        <f t="shared" si="0"/>
        <v>0</v>
      </c>
      <c r="H29" s="59">
        <f t="shared" si="1"/>
        <v>0</v>
      </c>
      <c r="J29" s="4"/>
      <c r="K29" s="4"/>
    </row>
    <row r="30" spans="1:20" ht="16.05" customHeight="1" thickTop="1" thickBot="1" x14ac:dyDescent="0.25">
      <c r="A30" s="16"/>
      <c r="B30" s="72">
        <v>891551</v>
      </c>
      <c r="C30" s="18" t="s">
        <v>144</v>
      </c>
      <c r="D30" s="24" t="s">
        <v>10</v>
      </c>
      <c r="E30" s="71"/>
      <c r="F30" s="632">
        <v>91</v>
      </c>
      <c r="G30" s="20">
        <f t="shared" si="0"/>
        <v>0</v>
      </c>
      <c r="H30" s="59">
        <f t="shared" si="1"/>
        <v>0</v>
      </c>
      <c r="J30" s="4"/>
      <c r="K30" s="4"/>
    </row>
    <row r="31" spans="1:20" ht="16.05" customHeight="1" thickTop="1" thickBot="1" x14ac:dyDescent="0.25">
      <c r="A31" s="16"/>
      <c r="B31" s="21">
        <v>860199</v>
      </c>
      <c r="C31" s="570" t="s">
        <v>164</v>
      </c>
      <c r="D31" s="24" t="s">
        <v>10</v>
      </c>
      <c r="E31" s="71"/>
      <c r="F31" s="632">
        <v>13</v>
      </c>
      <c r="G31" s="20">
        <f t="shared" si="0"/>
        <v>0</v>
      </c>
      <c r="H31" s="59">
        <f t="shared" si="1"/>
        <v>0</v>
      </c>
      <c r="J31" s="4"/>
      <c r="K31" s="4"/>
    </row>
    <row r="32" spans="1:20" ht="16.05" customHeight="1" thickTop="1" thickBot="1" x14ac:dyDescent="0.25">
      <c r="A32" s="16"/>
      <c r="B32" s="21">
        <v>890065</v>
      </c>
      <c r="C32" s="22" t="s">
        <v>80</v>
      </c>
      <c r="D32" s="16" t="s">
        <v>10</v>
      </c>
      <c r="E32" s="16"/>
      <c r="F32" s="632">
        <v>261</v>
      </c>
      <c r="G32" s="20">
        <f t="shared" si="0"/>
        <v>0</v>
      </c>
      <c r="H32" s="59">
        <f t="shared" si="1"/>
        <v>0</v>
      </c>
      <c r="J32" s="4"/>
      <c r="K32" s="4"/>
    </row>
    <row r="33" spans="1:18" ht="16.05" customHeight="1" thickTop="1" thickBot="1" x14ac:dyDescent="0.25">
      <c r="A33" s="16"/>
      <c r="B33" s="72">
        <v>900056</v>
      </c>
      <c r="C33" s="18" t="s">
        <v>427</v>
      </c>
      <c r="D33" s="16" t="s">
        <v>10</v>
      </c>
      <c r="E33" s="16"/>
      <c r="F33" s="632">
        <v>221</v>
      </c>
      <c r="G33" s="20">
        <f t="shared" si="0"/>
        <v>0</v>
      </c>
      <c r="H33" s="59">
        <f t="shared" si="1"/>
        <v>0</v>
      </c>
      <c r="J33" s="4"/>
      <c r="K33" s="4"/>
    </row>
    <row r="34" spans="1:18" ht="16.05" customHeight="1" thickTop="1" thickBot="1" x14ac:dyDescent="0.25">
      <c r="A34" s="16"/>
      <c r="B34" s="21">
        <v>893550</v>
      </c>
      <c r="C34" s="18" t="s">
        <v>436</v>
      </c>
      <c r="D34" s="16" t="s">
        <v>10</v>
      </c>
      <c r="E34" s="16"/>
      <c r="F34" s="632">
        <v>324</v>
      </c>
      <c r="G34" s="20">
        <f t="shared" si="0"/>
        <v>0</v>
      </c>
      <c r="H34" s="59">
        <f t="shared" si="1"/>
        <v>0</v>
      </c>
      <c r="J34" s="4"/>
      <c r="K34" s="4"/>
    </row>
    <row r="35" spans="1:18" ht="16.05" customHeight="1" thickTop="1" thickBot="1" x14ac:dyDescent="0.25">
      <c r="A35" s="805" t="s">
        <v>18</v>
      </c>
      <c r="B35" s="806"/>
      <c r="C35" s="806"/>
      <c r="D35" s="806"/>
      <c r="E35" s="806"/>
      <c r="F35" s="810"/>
      <c r="G35" s="28">
        <f>SUM(G20:G34)</f>
        <v>0</v>
      </c>
    </row>
    <row r="36" spans="1:18" ht="16.05" customHeight="1" thickTop="1" thickBot="1" x14ac:dyDescent="0.25">
      <c r="A36" s="47">
        <v>0</v>
      </c>
      <c r="B36" s="744" t="s">
        <v>70</v>
      </c>
      <c r="C36" s="807"/>
      <c r="D36" s="807"/>
      <c r="E36" s="807"/>
      <c r="F36" s="807"/>
      <c r="G36" s="77">
        <f>G35*(1-A36)</f>
        <v>0</v>
      </c>
    </row>
    <row r="37" spans="1:18" ht="16.05" customHeight="1" thickTop="1" thickBot="1" x14ac:dyDescent="0.25">
      <c r="A37" s="30" t="s">
        <v>19</v>
      </c>
      <c r="B37" s="31"/>
      <c r="C37" s="31"/>
      <c r="D37" s="31"/>
      <c r="E37" s="31"/>
      <c r="F37" s="31"/>
      <c r="G37" s="77">
        <f>G36*1.21</f>
        <v>0</v>
      </c>
    </row>
    <row r="38" spans="1:18" ht="16.05" customHeight="1" thickTop="1" x14ac:dyDescent="0.2">
      <c r="A38" s="2"/>
      <c r="B38" s="49"/>
      <c r="C38" s="49"/>
      <c r="D38" s="49"/>
      <c r="E38" s="49"/>
      <c r="F38" s="49"/>
      <c r="G38" s="52"/>
    </row>
    <row r="39" spans="1:18" ht="16.05" customHeight="1" x14ac:dyDescent="0.2">
      <c r="A39" s="732" t="s">
        <v>20</v>
      </c>
      <c r="B39" s="763"/>
      <c r="C39" s="763"/>
      <c r="D39" s="763"/>
      <c r="E39" s="763"/>
      <c r="F39" s="763"/>
      <c r="G39" s="763"/>
    </row>
    <row r="40" spans="1:18" ht="26.25" customHeight="1" x14ac:dyDescent="0.3">
      <c r="A40" s="733" t="s">
        <v>141</v>
      </c>
      <c r="B40" s="748"/>
      <c r="C40" s="748"/>
      <c r="D40" s="748"/>
      <c r="E40" s="748"/>
      <c r="F40" s="748"/>
      <c r="G40" s="748"/>
    </row>
    <row r="41" spans="1:18" ht="16.05" customHeight="1" x14ac:dyDescent="0.3">
      <c r="A41" s="733" t="s">
        <v>462</v>
      </c>
      <c r="B41" s="748"/>
      <c r="C41" s="748"/>
      <c r="D41" s="70">
        <f>SUM(I20:I23)/1000</f>
        <v>0</v>
      </c>
      <c r="E41" s="67"/>
      <c r="F41" s="67"/>
      <c r="G41" s="67"/>
    </row>
    <row r="42" spans="1:18" ht="16.05" customHeight="1" x14ac:dyDescent="0.2"/>
    <row r="43" spans="1:18" ht="16.05" customHeight="1" x14ac:dyDescent="0.2">
      <c r="A43" s="739" t="s">
        <v>21</v>
      </c>
      <c r="B43" s="750"/>
      <c r="C43" s="750"/>
      <c r="D43" s="750"/>
      <c r="E43" s="750"/>
      <c r="F43" s="750"/>
      <c r="G43" s="750"/>
    </row>
    <row r="44" spans="1:18" ht="16.05" customHeight="1" x14ac:dyDescent="0.2">
      <c r="A44" s="732" t="s">
        <v>142</v>
      </c>
      <c r="B44" s="763"/>
      <c r="C44" s="763"/>
      <c r="D44" s="763"/>
      <c r="E44" s="763"/>
      <c r="F44" s="763"/>
      <c r="G44" s="763"/>
    </row>
    <row r="45" spans="1:18" ht="16.05" customHeight="1" x14ac:dyDescent="0.3">
      <c r="A45" s="732" t="s">
        <v>22</v>
      </c>
      <c r="B45" s="740"/>
      <c r="C45" s="740"/>
      <c r="D45" s="740"/>
      <c r="E45" s="740"/>
      <c r="F45" s="740"/>
      <c r="G45" s="740"/>
    </row>
    <row r="46" spans="1:18" ht="16.05" customHeight="1" x14ac:dyDescent="0.2">
      <c r="A46" s="732" t="s">
        <v>23</v>
      </c>
      <c r="B46" s="763"/>
      <c r="C46" s="763"/>
      <c r="D46" s="763"/>
      <c r="E46" s="763"/>
      <c r="F46" s="763"/>
      <c r="G46" s="763"/>
    </row>
    <row r="47" spans="1:18" ht="16.05" customHeight="1" x14ac:dyDescent="0.3">
      <c r="A47" s="732"/>
      <c r="B47" s="740"/>
      <c r="C47" s="740"/>
      <c r="D47" s="740"/>
      <c r="E47" s="740"/>
      <c r="F47" s="740"/>
      <c r="G47" s="740"/>
      <c r="I47" s="593"/>
      <c r="J47" s="587"/>
      <c r="K47" s="587"/>
      <c r="L47" s="590"/>
      <c r="M47" s="587"/>
      <c r="N47" s="587"/>
      <c r="O47" s="587"/>
      <c r="P47" s="587"/>
      <c r="Q47" s="587"/>
      <c r="R47" s="587"/>
    </row>
    <row r="48" spans="1:18" ht="16.05" customHeight="1" x14ac:dyDescent="0.3">
      <c r="A48" s="66"/>
      <c r="B48"/>
      <c r="C48"/>
      <c r="D48"/>
      <c r="E48"/>
      <c r="F48"/>
      <c r="G48"/>
      <c r="I48" s="593"/>
      <c r="J48" s="587"/>
      <c r="K48" s="587"/>
      <c r="L48" s="590"/>
      <c r="M48" s="587"/>
      <c r="N48" s="587"/>
      <c r="O48" s="587"/>
      <c r="P48" s="587"/>
      <c r="Q48" s="587"/>
      <c r="R48" s="587"/>
    </row>
    <row r="49" spans="1:18" ht="16.05" customHeight="1" x14ac:dyDescent="0.3">
      <c r="B49" s="1" t="s">
        <v>11</v>
      </c>
      <c r="C49" s="2"/>
      <c r="D49"/>
      <c r="E49"/>
      <c r="F49"/>
      <c r="G49"/>
      <c r="I49" s="593"/>
      <c r="J49" s="587"/>
      <c r="K49" s="587"/>
      <c r="L49" s="590"/>
      <c r="M49" s="587"/>
      <c r="N49" s="587"/>
      <c r="O49" s="587"/>
      <c r="P49" s="587"/>
      <c r="Q49" s="587"/>
      <c r="R49" s="587"/>
    </row>
    <row r="50" spans="1:18" ht="16.05" customHeight="1" x14ac:dyDescent="0.3">
      <c r="B50" s="76" t="s">
        <v>12</v>
      </c>
      <c r="D50"/>
      <c r="E50"/>
      <c r="F50"/>
      <c r="G50"/>
      <c r="I50" s="593"/>
      <c r="J50" s="587"/>
      <c r="K50" s="587"/>
      <c r="L50" s="590"/>
      <c r="M50" s="587"/>
      <c r="N50" s="587"/>
      <c r="O50" s="587"/>
      <c r="P50" s="587"/>
      <c r="Q50" s="587"/>
      <c r="R50" s="587"/>
    </row>
    <row r="51" spans="1:18" ht="16.05" customHeight="1" x14ac:dyDescent="0.3">
      <c r="B51" s="749"/>
      <c r="C51" s="750"/>
      <c r="D51"/>
      <c r="E51"/>
      <c r="F51"/>
      <c r="G51"/>
      <c r="I51" s="593"/>
      <c r="J51" s="587"/>
      <c r="K51" s="587"/>
      <c r="L51" s="590"/>
      <c r="M51" s="587"/>
      <c r="N51" s="587"/>
      <c r="O51" s="587"/>
      <c r="P51" s="587"/>
      <c r="Q51" s="587"/>
      <c r="R51" s="587"/>
    </row>
    <row r="52" spans="1:18" ht="16.05" customHeight="1" x14ac:dyDescent="0.3">
      <c r="B52" s="76"/>
      <c r="D52"/>
      <c r="E52"/>
      <c r="F52"/>
      <c r="G52"/>
      <c r="I52" s="593"/>
      <c r="J52" s="587"/>
      <c r="K52" s="587"/>
      <c r="L52" s="590"/>
      <c r="M52" s="587"/>
      <c r="N52" s="587"/>
      <c r="O52" s="587"/>
      <c r="P52" s="587"/>
      <c r="Q52" s="587"/>
      <c r="R52" s="587"/>
    </row>
    <row r="53" spans="1:18" ht="16.05" customHeight="1" x14ac:dyDescent="0.3">
      <c r="B53" s="76"/>
      <c r="D53"/>
      <c r="E53"/>
      <c r="F53"/>
      <c r="G53"/>
      <c r="I53" s="593"/>
      <c r="J53" s="587"/>
      <c r="K53" s="587"/>
      <c r="L53" s="590"/>
      <c r="M53" s="587"/>
      <c r="N53" s="587"/>
      <c r="O53" s="587"/>
      <c r="P53" s="587"/>
      <c r="Q53" s="587"/>
      <c r="R53" s="587"/>
    </row>
    <row r="54" spans="1:18" ht="38.25" customHeight="1" x14ac:dyDescent="0.3">
      <c r="B54" s="76"/>
      <c r="D54"/>
      <c r="E54"/>
      <c r="F54"/>
      <c r="G54"/>
      <c r="I54" s="608" t="s">
        <v>162</v>
      </c>
      <c r="J54" s="586" t="s">
        <v>98</v>
      </c>
      <c r="K54" s="586" t="s">
        <v>99</v>
      </c>
      <c r="L54" s="586" t="s">
        <v>100</v>
      </c>
      <c r="M54" s="586" t="s">
        <v>113</v>
      </c>
      <c r="N54" s="586" t="s">
        <v>160</v>
      </c>
      <c r="O54" s="586" t="s">
        <v>161</v>
      </c>
      <c r="P54" s="586" t="s">
        <v>163</v>
      </c>
      <c r="Q54" s="586" t="s">
        <v>101</v>
      </c>
      <c r="R54" s="587"/>
    </row>
    <row r="55" spans="1:18" ht="27.75" customHeight="1" x14ac:dyDescent="0.2">
      <c r="A55" s="742"/>
      <c r="B55" s="742"/>
      <c r="C55" s="742"/>
      <c r="D55" s="742"/>
      <c r="E55" s="742"/>
      <c r="F55" s="742"/>
      <c r="G55" s="742"/>
      <c r="I55" s="598">
        <v>2</v>
      </c>
      <c r="J55" s="586">
        <v>2</v>
      </c>
      <c r="K55" s="586">
        <v>600</v>
      </c>
      <c r="L55" s="586"/>
      <c r="M55" s="586"/>
      <c r="N55" s="586"/>
      <c r="O55" s="586"/>
      <c r="P55" s="586"/>
      <c r="Q55" s="584">
        <f>K55+L55+M55+N55+O55+P55</f>
        <v>600</v>
      </c>
      <c r="R55" s="587"/>
    </row>
    <row r="56" spans="1:18" ht="21.75" customHeight="1" x14ac:dyDescent="0.2">
      <c r="A56" s="752"/>
      <c r="B56" s="799"/>
      <c r="C56" s="799"/>
      <c r="D56" s="799"/>
      <c r="E56" s="799"/>
      <c r="F56" s="799"/>
      <c r="G56" s="800"/>
      <c r="I56" s="598">
        <v>2</v>
      </c>
      <c r="J56" s="586">
        <v>2.5</v>
      </c>
      <c r="K56" s="586">
        <v>600</v>
      </c>
      <c r="L56" s="586"/>
      <c r="M56" s="586"/>
      <c r="N56" s="586"/>
      <c r="O56" s="586"/>
      <c r="P56" s="586"/>
      <c r="Q56" s="584">
        <f t="shared" ref="Q56:Q119" si="2">K56+L56+M56+N56+O56+P56</f>
        <v>600</v>
      </c>
      <c r="R56" s="587"/>
    </row>
    <row r="57" spans="1:18" ht="22.5" customHeight="1" x14ac:dyDescent="0.3">
      <c r="A57" s="752"/>
      <c r="B57" s="802"/>
      <c r="C57" s="802"/>
      <c r="D57" s="802"/>
      <c r="E57" s="802"/>
      <c r="F57" s="802"/>
      <c r="G57" s="802"/>
      <c r="I57" s="598">
        <v>2</v>
      </c>
      <c r="J57" s="586">
        <v>3</v>
      </c>
      <c r="K57" s="586">
        <v>600</v>
      </c>
      <c r="L57" s="586"/>
      <c r="M57" s="586"/>
      <c r="N57" s="586"/>
      <c r="O57" s="586"/>
      <c r="P57" s="586"/>
      <c r="Q57" s="584">
        <f t="shared" si="2"/>
        <v>600</v>
      </c>
      <c r="R57" s="587"/>
    </row>
    <row r="58" spans="1:18" ht="17.25" customHeight="1" x14ac:dyDescent="0.3">
      <c r="A58" s="752"/>
      <c r="B58" s="802"/>
      <c r="C58" s="802"/>
      <c r="D58" s="802"/>
      <c r="E58" s="802"/>
      <c r="F58" s="802"/>
      <c r="G58" s="802"/>
      <c r="I58" s="598">
        <v>2</v>
      </c>
      <c r="J58" s="586">
        <v>3.9</v>
      </c>
      <c r="K58" s="586">
        <v>600</v>
      </c>
      <c r="L58" s="586"/>
      <c r="M58" s="586"/>
      <c r="N58" s="586"/>
      <c r="O58" s="586"/>
      <c r="P58" s="586"/>
      <c r="Q58" s="584">
        <f t="shared" si="2"/>
        <v>600</v>
      </c>
      <c r="R58" s="587"/>
    </row>
    <row r="59" spans="1:18" ht="17.25" customHeight="1" x14ac:dyDescent="0.3">
      <c r="A59" s="752"/>
      <c r="B59" s="802"/>
      <c r="C59" s="802"/>
      <c r="D59" s="802"/>
      <c r="E59" s="802"/>
      <c r="F59" s="802"/>
      <c r="G59" s="802"/>
      <c r="I59" s="598">
        <v>4</v>
      </c>
      <c r="J59" s="586">
        <v>4</v>
      </c>
      <c r="K59" s="586">
        <v>600</v>
      </c>
      <c r="L59" s="586">
        <v>600</v>
      </c>
      <c r="M59" s="586"/>
      <c r="N59" s="586"/>
      <c r="O59" s="586"/>
      <c r="P59" s="586"/>
      <c r="Q59" s="584">
        <f t="shared" si="2"/>
        <v>1200</v>
      </c>
      <c r="R59" s="587"/>
    </row>
    <row r="60" spans="1:18" ht="13.8" x14ac:dyDescent="0.3">
      <c r="A60" s="752"/>
      <c r="B60" s="802"/>
      <c r="C60" s="802"/>
      <c r="D60" s="802"/>
      <c r="E60" s="802"/>
      <c r="F60" s="802"/>
      <c r="G60" s="802"/>
      <c r="I60" s="598">
        <v>4</v>
      </c>
      <c r="J60" s="586">
        <v>4.9000000000000004</v>
      </c>
      <c r="K60" s="586">
        <v>600</v>
      </c>
      <c r="L60" s="586">
        <v>600</v>
      </c>
      <c r="M60" s="586"/>
      <c r="N60" s="586"/>
      <c r="O60" s="586"/>
      <c r="P60" s="586"/>
      <c r="Q60" s="584">
        <f t="shared" si="2"/>
        <v>1200</v>
      </c>
      <c r="R60" s="587"/>
    </row>
    <row r="61" spans="1:18" ht="27.75" customHeight="1" x14ac:dyDescent="0.2">
      <c r="A61" s="752"/>
      <c r="B61" s="800"/>
      <c r="C61" s="800"/>
      <c r="D61" s="800"/>
      <c r="E61" s="800"/>
      <c r="F61" s="800"/>
      <c r="G61" s="800"/>
      <c r="I61" s="598">
        <v>5</v>
      </c>
      <c r="J61" s="586">
        <v>5</v>
      </c>
      <c r="K61" s="586">
        <v>1500</v>
      </c>
      <c r="L61" s="586"/>
      <c r="M61" s="586"/>
      <c r="N61" s="586"/>
      <c r="O61" s="586"/>
      <c r="P61" s="586"/>
      <c r="Q61" s="584">
        <f t="shared" si="2"/>
        <v>1500</v>
      </c>
      <c r="R61" s="587"/>
    </row>
    <row r="62" spans="1:18" ht="25.5" customHeight="1" x14ac:dyDescent="0.2">
      <c r="A62" s="752"/>
      <c r="B62" s="799"/>
      <c r="C62" s="799"/>
      <c r="D62" s="799"/>
      <c r="E62" s="799"/>
      <c r="F62" s="799"/>
      <c r="G62" s="800"/>
      <c r="I62" s="598">
        <v>5</v>
      </c>
      <c r="J62" s="586">
        <v>5.9</v>
      </c>
      <c r="K62" s="586">
        <v>1500</v>
      </c>
      <c r="L62" s="586"/>
      <c r="M62" s="586"/>
      <c r="N62" s="586"/>
      <c r="O62" s="586"/>
      <c r="P62" s="586"/>
      <c r="Q62" s="584">
        <f t="shared" si="2"/>
        <v>1500</v>
      </c>
      <c r="R62" s="587"/>
    </row>
    <row r="63" spans="1:18" ht="27" customHeight="1" x14ac:dyDescent="0.2">
      <c r="A63" s="812"/>
      <c r="B63" s="812"/>
      <c r="C63" s="812"/>
      <c r="D63" s="812"/>
      <c r="E63" s="812"/>
      <c r="F63" s="812"/>
      <c r="G63" s="812"/>
      <c r="I63" s="598">
        <v>5</v>
      </c>
      <c r="J63" s="586">
        <v>6</v>
      </c>
      <c r="K63" s="586">
        <v>600</v>
      </c>
      <c r="L63" s="586">
        <v>600</v>
      </c>
      <c r="M63" s="586">
        <v>600</v>
      </c>
      <c r="N63" s="586"/>
      <c r="O63" s="586"/>
      <c r="P63" s="586"/>
      <c r="Q63" s="584">
        <f t="shared" si="2"/>
        <v>1800</v>
      </c>
      <c r="R63" s="587"/>
    </row>
    <row r="64" spans="1:18" ht="34.5" customHeight="1" x14ac:dyDescent="0.2">
      <c r="A64" s="63"/>
      <c r="B64" s="607"/>
      <c r="C64" s="63"/>
      <c r="D64" s="63"/>
      <c r="E64" s="63"/>
      <c r="F64" s="63"/>
      <c r="G64" s="63"/>
      <c r="I64" s="598">
        <v>5</v>
      </c>
      <c r="J64" s="586">
        <v>6.9</v>
      </c>
      <c r="K64" s="586">
        <v>600</v>
      </c>
      <c r="L64" s="586">
        <v>600</v>
      </c>
      <c r="M64" s="586">
        <v>600</v>
      </c>
      <c r="N64" s="586"/>
      <c r="O64" s="586"/>
      <c r="P64" s="586"/>
      <c r="Q64" s="584">
        <f t="shared" si="2"/>
        <v>1800</v>
      </c>
      <c r="R64" s="587"/>
    </row>
    <row r="65" spans="1:18" x14ac:dyDescent="0.2">
      <c r="A65" s="63"/>
      <c r="B65" s="63"/>
      <c r="C65" s="63"/>
      <c r="D65" s="63"/>
      <c r="E65" s="63"/>
      <c r="F65" s="63"/>
      <c r="G65" s="63"/>
      <c r="I65" s="584">
        <v>7</v>
      </c>
      <c r="J65" s="586">
        <v>7</v>
      </c>
      <c r="K65" s="586">
        <v>600</v>
      </c>
      <c r="L65" s="586">
        <v>1500</v>
      </c>
      <c r="M65" s="586"/>
      <c r="N65" s="586"/>
      <c r="O65" s="586"/>
      <c r="P65" s="586"/>
      <c r="Q65" s="584">
        <f t="shared" si="2"/>
        <v>2100</v>
      </c>
      <c r="R65" s="587"/>
    </row>
    <row r="66" spans="1:18" ht="19.5" customHeight="1" x14ac:dyDescent="0.2">
      <c r="A66" s="753"/>
      <c r="B66" s="753"/>
      <c r="C66" s="753"/>
      <c r="D66" s="753"/>
      <c r="E66" s="753"/>
      <c r="F66" s="753"/>
      <c r="G66" s="753"/>
      <c r="I66" s="584">
        <v>7</v>
      </c>
      <c r="J66" s="586">
        <v>7.9</v>
      </c>
      <c r="K66" s="586">
        <v>600</v>
      </c>
      <c r="L66" s="586">
        <v>1500</v>
      </c>
      <c r="M66" s="586"/>
      <c r="N66" s="586"/>
      <c r="O66" s="586"/>
      <c r="P66" s="586"/>
      <c r="Q66" s="584">
        <f t="shared" si="2"/>
        <v>2100</v>
      </c>
      <c r="R66" s="587"/>
    </row>
    <row r="67" spans="1:18" ht="27" customHeight="1" x14ac:dyDescent="0.2">
      <c r="A67" s="752"/>
      <c r="B67" s="799"/>
      <c r="C67" s="799"/>
      <c r="D67" s="799"/>
      <c r="E67" s="799"/>
      <c r="F67" s="799"/>
      <c r="G67" s="800"/>
      <c r="I67" s="584">
        <v>8</v>
      </c>
      <c r="J67" s="586">
        <v>8</v>
      </c>
      <c r="K67" s="586">
        <v>2400</v>
      </c>
      <c r="L67" s="586"/>
      <c r="M67" s="586"/>
      <c r="N67" s="586"/>
      <c r="O67" s="586"/>
      <c r="P67" s="586"/>
      <c r="Q67" s="584">
        <f t="shared" si="2"/>
        <v>2400</v>
      </c>
      <c r="R67" s="587"/>
    </row>
    <row r="68" spans="1:18" ht="28.5" customHeight="1" x14ac:dyDescent="0.2">
      <c r="A68" s="752"/>
      <c r="B68" s="752"/>
      <c r="C68" s="752"/>
      <c r="D68" s="752"/>
      <c r="E68" s="752"/>
      <c r="F68" s="752"/>
      <c r="G68" s="752"/>
      <c r="I68" s="584">
        <v>8</v>
      </c>
      <c r="J68" s="586">
        <v>8.9</v>
      </c>
      <c r="K68" s="586">
        <v>2400</v>
      </c>
      <c r="L68" s="586"/>
      <c r="M68" s="586"/>
      <c r="N68" s="586"/>
      <c r="O68" s="586"/>
      <c r="P68" s="586"/>
      <c r="Q68" s="584">
        <f t="shared" si="2"/>
        <v>2400</v>
      </c>
      <c r="R68" s="587"/>
    </row>
    <row r="69" spans="1:18" ht="19.5" customHeight="1" x14ac:dyDescent="0.2">
      <c r="A69" s="752"/>
      <c r="B69" s="752"/>
      <c r="C69" s="752"/>
      <c r="D69" s="752"/>
      <c r="E69" s="752"/>
      <c r="F69" s="752"/>
      <c r="G69" s="752"/>
      <c r="I69" s="584">
        <v>9</v>
      </c>
      <c r="J69" s="586">
        <v>9</v>
      </c>
      <c r="K69" s="586">
        <v>600</v>
      </c>
      <c r="L69" s="586">
        <v>600</v>
      </c>
      <c r="M69" s="586">
        <v>1500</v>
      </c>
      <c r="N69" s="586"/>
      <c r="O69" s="586"/>
      <c r="P69" s="586"/>
      <c r="Q69" s="584">
        <f t="shared" si="2"/>
        <v>2700</v>
      </c>
      <c r="R69" s="587"/>
    </row>
    <row r="70" spans="1:18" ht="12.6" x14ac:dyDescent="0.2">
      <c r="A70" s="81"/>
      <c r="B70" s="81"/>
      <c r="C70" s="81"/>
      <c r="D70" s="81"/>
      <c r="E70" s="81"/>
      <c r="F70" s="81"/>
      <c r="G70" s="81"/>
      <c r="I70" s="584">
        <v>9</v>
      </c>
      <c r="J70" s="586">
        <v>9.9</v>
      </c>
      <c r="K70" s="586">
        <v>600</v>
      </c>
      <c r="L70" s="586">
        <v>600</v>
      </c>
      <c r="M70" s="586">
        <v>1500</v>
      </c>
      <c r="N70" s="586"/>
      <c r="O70" s="586"/>
      <c r="P70" s="586"/>
      <c r="Q70" s="584">
        <f t="shared" si="2"/>
        <v>2700</v>
      </c>
      <c r="R70" s="587"/>
    </row>
    <row r="71" spans="1:18" x14ac:dyDescent="0.2">
      <c r="I71" s="584">
        <v>10</v>
      </c>
      <c r="J71" s="586">
        <v>10</v>
      </c>
      <c r="K71" s="586">
        <v>3000</v>
      </c>
      <c r="L71" s="586"/>
      <c r="M71" s="586"/>
      <c r="N71" s="586"/>
      <c r="O71" s="586"/>
      <c r="P71" s="586"/>
      <c r="Q71" s="584">
        <f t="shared" si="2"/>
        <v>3000</v>
      </c>
      <c r="R71" s="587"/>
    </row>
    <row r="72" spans="1:18" x14ac:dyDescent="0.2">
      <c r="I72" s="584">
        <v>10</v>
      </c>
      <c r="J72" s="586">
        <v>11.9</v>
      </c>
      <c r="K72" s="586">
        <v>3000</v>
      </c>
      <c r="L72" s="586"/>
      <c r="M72" s="586"/>
      <c r="N72" s="586"/>
      <c r="O72" s="586"/>
      <c r="P72" s="586"/>
      <c r="Q72" s="584">
        <f t="shared" si="2"/>
        <v>3000</v>
      </c>
      <c r="R72" s="587"/>
    </row>
    <row r="73" spans="1:18" x14ac:dyDescent="0.2">
      <c r="I73" s="584">
        <v>12</v>
      </c>
      <c r="J73" s="586">
        <v>12</v>
      </c>
      <c r="K73" s="584">
        <v>600</v>
      </c>
      <c r="L73" s="584">
        <v>3000</v>
      </c>
      <c r="M73" s="584"/>
      <c r="N73" s="584"/>
      <c r="O73" s="584"/>
      <c r="P73" s="584"/>
      <c r="Q73" s="584">
        <f t="shared" si="2"/>
        <v>3600</v>
      </c>
      <c r="R73" s="587"/>
    </row>
    <row r="74" spans="1:18" x14ac:dyDescent="0.2">
      <c r="I74" s="584">
        <v>12</v>
      </c>
      <c r="J74" s="586">
        <v>12.9</v>
      </c>
      <c r="K74" s="584">
        <v>600</v>
      </c>
      <c r="L74" s="584">
        <v>3000</v>
      </c>
      <c r="M74" s="584"/>
      <c r="N74" s="584"/>
      <c r="O74" s="584"/>
      <c r="P74" s="584"/>
      <c r="Q74" s="584">
        <f t="shared" si="2"/>
        <v>3600</v>
      </c>
      <c r="R74" s="587"/>
    </row>
    <row r="75" spans="1:18" x14ac:dyDescent="0.2">
      <c r="I75" s="584">
        <v>13</v>
      </c>
      <c r="J75" s="586">
        <v>13</v>
      </c>
      <c r="K75" s="584">
        <v>1500</v>
      </c>
      <c r="L75" s="584">
        <v>2400</v>
      </c>
      <c r="M75" s="584"/>
      <c r="N75" s="584"/>
      <c r="O75" s="584"/>
      <c r="P75" s="584"/>
      <c r="Q75" s="584">
        <f t="shared" si="2"/>
        <v>3900</v>
      </c>
      <c r="R75" s="587"/>
    </row>
    <row r="76" spans="1:18" x14ac:dyDescent="0.2">
      <c r="I76" s="584">
        <v>13</v>
      </c>
      <c r="J76" s="586">
        <v>13.9</v>
      </c>
      <c r="K76" s="584">
        <v>1500</v>
      </c>
      <c r="L76" s="584">
        <v>2400</v>
      </c>
      <c r="M76" s="584"/>
      <c r="N76" s="584"/>
      <c r="O76" s="584"/>
      <c r="P76" s="584"/>
      <c r="Q76" s="584">
        <f t="shared" si="2"/>
        <v>3900</v>
      </c>
      <c r="R76" s="587"/>
    </row>
    <row r="77" spans="1:18" x14ac:dyDescent="0.2">
      <c r="I77" s="584">
        <v>14</v>
      </c>
      <c r="J77" s="586">
        <v>14</v>
      </c>
      <c r="K77" s="584">
        <v>600</v>
      </c>
      <c r="L77" s="584">
        <v>600</v>
      </c>
      <c r="M77" s="584">
        <v>3000</v>
      </c>
      <c r="N77" s="584"/>
      <c r="O77" s="584"/>
      <c r="P77" s="584"/>
      <c r="Q77" s="584">
        <f t="shared" si="2"/>
        <v>4200</v>
      </c>
      <c r="R77" s="587"/>
    </row>
    <row r="78" spans="1:18" x14ac:dyDescent="0.2">
      <c r="I78" s="584">
        <v>14</v>
      </c>
      <c r="J78" s="586">
        <v>14.9</v>
      </c>
      <c r="K78" s="584">
        <v>600</v>
      </c>
      <c r="L78" s="584">
        <v>600</v>
      </c>
      <c r="M78" s="584">
        <v>3000</v>
      </c>
      <c r="N78" s="584"/>
      <c r="O78" s="584"/>
      <c r="P78" s="584"/>
      <c r="Q78" s="584">
        <f t="shared" si="2"/>
        <v>4200</v>
      </c>
      <c r="R78" s="587"/>
    </row>
    <row r="79" spans="1:18" x14ac:dyDescent="0.2">
      <c r="I79" s="584">
        <v>15</v>
      </c>
      <c r="J79" s="586">
        <v>15</v>
      </c>
      <c r="K79" s="584">
        <v>1500</v>
      </c>
      <c r="L79" s="584">
        <v>3000</v>
      </c>
      <c r="M79" s="584"/>
      <c r="N79" s="584"/>
      <c r="O79" s="584"/>
      <c r="P79" s="584"/>
      <c r="Q79" s="584">
        <f t="shared" si="2"/>
        <v>4500</v>
      </c>
      <c r="R79" s="587"/>
    </row>
    <row r="80" spans="1:18" x14ac:dyDescent="0.2">
      <c r="I80" s="584">
        <v>15</v>
      </c>
      <c r="J80" s="586">
        <v>15.9</v>
      </c>
      <c r="K80" s="584">
        <v>1500</v>
      </c>
      <c r="L80" s="584">
        <v>3000</v>
      </c>
      <c r="M80" s="584"/>
      <c r="N80" s="584"/>
      <c r="O80" s="584"/>
      <c r="P80" s="584"/>
      <c r="Q80" s="584">
        <f t="shared" si="2"/>
        <v>4500</v>
      </c>
      <c r="R80" s="587"/>
    </row>
    <row r="81" spans="9:18" x14ac:dyDescent="0.2">
      <c r="I81" s="584">
        <v>16</v>
      </c>
      <c r="J81" s="586">
        <v>16</v>
      </c>
      <c r="K81" s="584">
        <v>2400</v>
      </c>
      <c r="L81" s="584">
        <v>2400</v>
      </c>
      <c r="M81" s="584"/>
      <c r="N81" s="584"/>
      <c r="O81" s="584"/>
      <c r="P81" s="584"/>
      <c r="Q81" s="584">
        <f t="shared" si="2"/>
        <v>4800</v>
      </c>
      <c r="R81" s="587"/>
    </row>
    <row r="82" spans="9:18" x14ac:dyDescent="0.2">
      <c r="I82" s="584">
        <v>16</v>
      </c>
      <c r="J82" s="586">
        <v>16.899999999999999</v>
      </c>
      <c r="K82" s="584">
        <v>2400</v>
      </c>
      <c r="L82" s="584">
        <v>2400</v>
      </c>
      <c r="M82" s="584"/>
      <c r="N82" s="584"/>
      <c r="O82" s="584"/>
      <c r="P82" s="584"/>
      <c r="Q82" s="584">
        <f t="shared" si="2"/>
        <v>4800</v>
      </c>
      <c r="R82" s="587"/>
    </row>
    <row r="83" spans="9:18" x14ac:dyDescent="0.2">
      <c r="I83" s="584">
        <v>17</v>
      </c>
      <c r="J83" s="586">
        <v>17</v>
      </c>
      <c r="K83" s="584">
        <v>600</v>
      </c>
      <c r="L83" s="584">
        <v>1500</v>
      </c>
      <c r="M83" s="584">
        <v>3000</v>
      </c>
      <c r="N83" s="584"/>
      <c r="O83" s="584"/>
      <c r="P83" s="584"/>
      <c r="Q83" s="584">
        <f t="shared" si="2"/>
        <v>5100</v>
      </c>
      <c r="R83" s="587"/>
    </row>
    <row r="84" spans="9:18" x14ac:dyDescent="0.2">
      <c r="I84" s="584">
        <v>17</v>
      </c>
      <c r="J84" s="586">
        <v>17.899999999999999</v>
      </c>
      <c r="K84" s="584">
        <v>600</v>
      </c>
      <c r="L84" s="584">
        <v>1500</v>
      </c>
      <c r="M84" s="584">
        <v>3000</v>
      </c>
      <c r="N84" s="584"/>
      <c r="O84" s="584"/>
      <c r="P84" s="584"/>
      <c r="Q84" s="584">
        <f t="shared" si="2"/>
        <v>5100</v>
      </c>
      <c r="R84" s="587"/>
    </row>
    <row r="85" spans="9:18" x14ac:dyDescent="0.2">
      <c r="I85" s="584">
        <v>18</v>
      </c>
      <c r="J85" s="586">
        <v>18</v>
      </c>
      <c r="K85" s="584">
        <v>2400</v>
      </c>
      <c r="L85" s="584">
        <v>3000</v>
      </c>
      <c r="M85" s="584"/>
      <c r="N85" s="584"/>
      <c r="O85" s="584"/>
      <c r="P85" s="584"/>
      <c r="Q85" s="584">
        <f t="shared" si="2"/>
        <v>5400</v>
      </c>
      <c r="R85" s="587"/>
    </row>
    <row r="86" spans="9:18" x14ac:dyDescent="0.2">
      <c r="I86" s="584">
        <v>18</v>
      </c>
      <c r="J86" s="586">
        <v>18.899999999999999</v>
      </c>
      <c r="K86" s="584">
        <v>2400</v>
      </c>
      <c r="L86" s="584">
        <v>3000</v>
      </c>
      <c r="M86" s="584"/>
      <c r="N86" s="584"/>
      <c r="O86" s="584"/>
      <c r="P86" s="584"/>
      <c r="Q86" s="584">
        <f t="shared" si="2"/>
        <v>5400</v>
      </c>
      <c r="R86" s="587"/>
    </row>
    <row r="87" spans="9:18" x14ac:dyDescent="0.2">
      <c r="I87" s="584">
        <v>19</v>
      </c>
      <c r="J87" s="586">
        <v>19</v>
      </c>
      <c r="K87" s="584">
        <v>600</v>
      </c>
      <c r="L87" s="584">
        <v>600</v>
      </c>
      <c r="M87" s="584">
        <v>1500</v>
      </c>
      <c r="N87" s="584">
        <v>3000</v>
      </c>
      <c r="O87" s="584"/>
      <c r="P87" s="584"/>
      <c r="Q87" s="584">
        <f t="shared" si="2"/>
        <v>5700</v>
      </c>
      <c r="R87" s="587"/>
    </row>
    <row r="88" spans="9:18" x14ac:dyDescent="0.2">
      <c r="I88" s="584">
        <v>19</v>
      </c>
      <c r="J88" s="586">
        <v>19.899999999999999</v>
      </c>
      <c r="K88" s="584">
        <v>600</v>
      </c>
      <c r="L88" s="584">
        <v>600</v>
      </c>
      <c r="M88" s="584">
        <v>1500</v>
      </c>
      <c r="N88" s="584">
        <v>3000</v>
      </c>
      <c r="O88" s="584"/>
      <c r="P88" s="584"/>
      <c r="Q88" s="584">
        <f t="shared" si="2"/>
        <v>5700</v>
      </c>
      <c r="R88" s="587"/>
    </row>
    <row r="89" spans="9:18" x14ac:dyDescent="0.2">
      <c r="I89" s="584">
        <v>20</v>
      </c>
      <c r="J89" s="586">
        <v>20</v>
      </c>
      <c r="K89" s="584">
        <v>3000</v>
      </c>
      <c r="L89" s="584">
        <v>3000</v>
      </c>
      <c r="M89" s="584"/>
      <c r="N89" s="584"/>
      <c r="O89" s="584"/>
      <c r="P89" s="584"/>
      <c r="Q89" s="584">
        <f t="shared" si="2"/>
        <v>6000</v>
      </c>
      <c r="R89" s="587"/>
    </row>
    <row r="90" spans="9:18" x14ac:dyDescent="0.2">
      <c r="I90" s="584">
        <v>20</v>
      </c>
      <c r="J90" s="586">
        <v>20.9</v>
      </c>
      <c r="K90" s="584">
        <v>3000</v>
      </c>
      <c r="L90" s="584">
        <v>3000</v>
      </c>
      <c r="M90" s="584"/>
      <c r="N90" s="584"/>
      <c r="O90" s="584"/>
      <c r="P90" s="584"/>
      <c r="Q90" s="584">
        <f t="shared" si="2"/>
        <v>6000</v>
      </c>
      <c r="R90" s="587"/>
    </row>
    <row r="91" spans="9:18" x14ac:dyDescent="0.2">
      <c r="I91" s="584">
        <v>21</v>
      </c>
      <c r="J91" s="586">
        <v>21</v>
      </c>
      <c r="K91" s="584">
        <v>1500</v>
      </c>
      <c r="L91" s="584">
        <v>2400</v>
      </c>
      <c r="M91" s="584">
        <v>2400</v>
      </c>
      <c r="N91" s="584"/>
      <c r="O91" s="584"/>
      <c r="P91" s="584"/>
      <c r="Q91" s="584">
        <f t="shared" si="2"/>
        <v>6300</v>
      </c>
      <c r="R91" s="587"/>
    </row>
    <row r="92" spans="9:18" x14ac:dyDescent="0.2">
      <c r="I92" s="584">
        <v>21</v>
      </c>
      <c r="J92" s="586">
        <v>21.9</v>
      </c>
      <c r="K92" s="584">
        <v>1500</v>
      </c>
      <c r="L92" s="584">
        <v>2400</v>
      </c>
      <c r="M92" s="584">
        <v>2400</v>
      </c>
      <c r="N92" s="584"/>
      <c r="O92" s="584"/>
      <c r="P92" s="584"/>
      <c r="Q92" s="584">
        <f t="shared" si="2"/>
        <v>6300</v>
      </c>
      <c r="R92" s="587"/>
    </row>
    <row r="93" spans="9:18" x14ac:dyDescent="0.2">
      <c r="I93" s="584">
        <v>22</v>
      </c>
      <c r="J93" s="586">
        <v>22</v>
      </c>
      <c r="K93" s="584">
        <v>600</v>
      </c>
      <c r="L93" s="584">
        <v>3000</v>
      </c>
      <c r="M93" s="584">
        <v>3000</v>
      </c>
      <c r="N93" s="584"/>
      <c r="O93" s="584"/>
      <c r="P93" s="584"/>
      <c r="Q93" s="584">
        <f t="shared" si="2"/>
        <v>6600</v>
      </c>
      <c r="R93" s="587"/>
    </row>
    <row r="94" spans="9:18" x14ac:dyDescent="0.2">
      <c r="I94" s="584">
        <v>22</v>
      </c>
      <c r="J94" s="586">
        <v>22.9</v>
      </c>
      <c r="K94" s="584">
        <v>600</v>
      </c>
      <c r="L94" s="584">
        <v>3000</v>
      </c>
      <c r="M94" s="584">
        <v>3000</v>
      </c>
      <c r="N94" s="584"/>
      <c r="O94" s="584"/>
      <c r="P94" s="584"/>
      <c r="Q94" s="584">
        <f t="shared" si="2"/>
        <v>6600</v>
      </c>
      <c r="R94" s="587"/>
    </row>
    <row r="95" spans="9:18" x14ac:dyDescent="0.2">
      <c r="I95" s="584">
        <v>23</v>
      </c>
      <c r="J95" s="586">
        <v>23</v>
      </c>
      <c r="K95" s="584">
        <v>1500</v>
      </c>
      <c r="L95" s="584">
        <v>2400</v>
      </c>
      <c r="M95" s="584">
        <v>3000</v>
      </c>
      <c r="N95" s="584"/>
      <c r="O95" s="584"/>
      <c r="P95" s="584"/>
      <c r="Q95" s="584">
        <f t="shared" si="2"/>
        <v>6900</v>
      </c>
      <c r="R95" s="587"/>
    </row>
    <row r="96" spans="9:18" x14ac:dyDescent="0.2">
      <c r="I96" s="584">
        <v>23</v>
      </c>
      <c r="J96" s="586">
        <v>23.9</v>
      </c>
      <c r="K96" s="584">
        <v>1500</v>
      </c>
      <c r="L96" s="584">
        <v>2400</v>
      </c>
      <c r="M96" s="584">
        <v>3000</v>
      </c>
      <c r="N96" s="584"/>
      <c r="O96" s="584"/>
      <c r="P96" s="584"/>
      <c r="Q96" s="584">
        <f t="shared" si="2"/>
        <v>6900</v>
      </c>
      <c r="R96" s="587"/>
    </row>
    <row r="97" spans="9:18" x14ac:dyDescent="0.2">
      <c r="I97" s="584">
        <v>24</v>
      </c>
      <c r="J97" s="586">
        <v>24</v>
      </c>
      <c r="K97" s="584">
        <v>2400</v>
      </c>
      <c r="L97" s="584">
        <v>2400</v>
      </c>
      <c r="M97" s="584">
        <v>2400</v>
      </c>
      <c r="N97" s="584"/>
      <c r="O97" s="584"/>
      <c r="P97" s="584"/>
      <c r="Q97" s="584">
        <f t="shared" si="2"/>
        <v>7200</v>
      </c>
      <c r="R97" s="587"/>
    </row>
    <row r="98" spans="9:18" x14ac:dyDescent="0.2">
      <c r="I98" s="584">
        <v>24</v>
      </c>
      <c r="J98" s="586">
        <v>24.9</v>
      </c>
      <c r="K98" s="584">
        <v>2400</v>
      </c>
      <c r="L98" s="584">
        <v>2400</v>
      </c>
      <c r="M98" s="584">
        <v>2400</v>
      </c>
      <c r="N98" s="584"/>
      <c r="O98" s="584"/>
      <c r="P98" s="584"/>
      <c r="Q98" s="584">
        <f t="shared" si="2"/>
        <v>7200</v>
      </c>
      <c r="R98" s="587"/>
    </row>
    <row r="99" spans="9:18" x14ac:dyDescent="0.2">
      <c r="I99" s="584">
        <v>25</v>
      </c>
      <c r="J99" s="586">
        <v>25</v>
      </c>
      <c r="K99" s="584">
        <v>1500</v>
      </c>
      <c r="L99" s="584">
        <v>3000</v>
      </c>
      <c r="M99" s="584">
        <v>3000</v>
      </c>
      <c r="N99" s="584"/>
      <c r="O99" s="584"/>
      <c r="P99" s="584"/>
      <c r="Q99" s="584">
        <f t="shared" si="2"/>
        <v>7500</v>
      </c>
      <c r="R99" s="587"/>
    </row>
    <row r="100" spans="9:18" x14ac:dyDescent="0.2">
      <c r="I100" s="584">
        <v>25</v>
      </c>
      <c r="J100" s="586">
        <v>25.9</v>
      </c>
      <c r="K100" s="584">
        <v>1500</v>
      </c>
      <c r="L100" s="584">
        <v>3000</v>
      </c>
      <c r="M100" s="584">
        <v>3000</v>
      </c>
      <c r="N100" s="584"/>
      <c r="O100" s="584"/>
      <c r="P100" s="584"/>
      <c r="Q100" s="584">
        <f t="shared" si="2"/>
        <v>7500</v>
      </c>
      <c r="R100" s="587"/>
    </row>
    <row r="101" spans="9:18" x14ac:dyDescent="0.2">
      <c r="I101" s="584">
        <v>26</v>
      </c>
      <c r="J101" s="586">
        <v>26</v>
      </c>
      <c r="K101" s="584">
        <v>2400</v>
      </c>
      <c r="L101" s="584">
        <v>2400</v>
      </c>
      <c r="M101" s="584">
        <v>3000</v>
      </c>
      <c r="N101" s="584"/>
      <c r="O101" s="584"/>
      <c r="P101" s="584"/>
      <c r="Q101" s="584">
        <f t="shared" si="2"/>
        <v>7800</v>
      </c>
      <c r="R101" s="587"/>
    </row>
    <row r="102" spans="9:18" x14ac:dyDescent="0.2">
      <c r="I102" s="584">
        <v>26</v>
      </c>
      <c r="J102" s="586">
        <v>26.9</v>
      </c>
      <c r="K102" s="584">
        <v>2400</v>
      </c>
      <c r="L102" s="584">
        <v>2400</v>
      </c>
      <c r="M102" s="584">
        <v>3000</v>
      </c>
      <c r="N102" s="584"/>
      <c r="O102" s="584"/>
      <c r="P102" s="584"/>
      <c r="Q102" s="584">
        <f t="shared" si="2"/>
        <v>7800</v>
      </c>
      <c r="R102" s="587"/>
    </row>
    <row r="103" spans="9:18" x14ac:dyDescent="0.2">
      <c r="I103" s="584">
        <v>27</v>
      </c>
      <c r="J103" s="586">
        <v>27</v>
      </c>
      <c r="K103" s="584">
        <v>600</v>
      </c>
      <c r="L103" s="584">
        <v>1500</v>
      </c>
      <c r="M103" s="584">
        <v>3000</v>
      </c>
      <c r="N103" s="584">
        <v>3000</v>
      </c>
      <c r="O103" s="584"/>
      <c r="P103" s="584"/>
      <c r="Q103" s="584">
        <f t="shared" si="2"/>
        <v>8100</v>
      </c>
      <c r="R103" s="587"/>
    </row>
    <row r="104" spans="9:18" x14ac:dyDescent="0.2">
      <c r="I104" s="584">
        <v>27</v>
      </c>
      <c r="J104" s="586">
        <v>27.9</v>
      </c>
      <c r="K104" s="584">
        <v>600</v>
      </c>
      <c r="L104" s="584">
        <v>1500</v>
      </c>
      <c r="M104" s="584">
        <v>3000</v>
      </c>
      <c r="N104" s="584">
        <v>3000</v>
      </c>
      <c r="O104" s="584"/>
      <c r="P104" s="584"/>
      <c r="Q104" s="584">
        <f t="shared" si="2"/>
        <v>8100</v>
      </c>
      <c r="R104" s="587"/>
    </row>
    <row r="105" spans="9:18" x14ac:dyDescent="0.2">
      <c r="I105" s="584">
        <v>28</v>
      </c>
      <c r="J105" s="586">
        <v>28</v>
      </c>
      <c r="K105" s="584">
        <v>2400</v>
      </c>
      <c r="L105" s="584">
        <v>3000</v>
      </c>
      <c r="M105" s="584">
        <v>3000</v>
      </c>
      <c r="N105" s="584"/>
      <c r="O105" s="584"/>
      <c r="P105" s="584"/>
      <c r="Q105" s="584">
        <f t="shared" si="2"/>
        <v>8400</v>
      </c>
      <c r="R105" s="587"/>
    </row>
    <row r="106" spans="9:18" x14ac:dyDescent="0.2">
      <c r="I106" s="584">
        <v>28</v>
      </c>
      <c r="J106" s="586">
        <v>28.9</v>
      </c>
      <c r="K106" s="584">
        <v>2400</v>
      </c>
      <c r="L106" s="584">
        <v>3000</v>
      </c>
      <c r="M106" s="584">
        <v>3000</v>
      </c>
      <c r="N106" s="584"/>
      <c r="O106" s="584"/>
      <c r="P106" s="584"/>
      <c r="Q106" s="584">
        <f t="shared" si="2"/>
        <v>8400</v>
      </c>
      <c r="R106" s="587"/>
    </row>
    <row r="107" spans="9:18" x14ac:dyDescent="0.2">
      <c r="I107" s="584">
        <v>29</v>
      </c>
      <c r="J107" s="586">
        <v>29</v>
      </c>
      <c r="K107" s="584">
        <v>600</v>
      </c>
      <c r="L107" s="584">
        <v>600</v>
      </c>
      <c r="M107" s="584">
        <v>1500</v>
      </c>
      <c r="N107" s="584">
        <v>3000</v>
      </c>
      <c r="O107" s="584">
        <v>3000</v>
      </c>
      <c r="P107" s="584"/>
      <c r="Q107" s="584">
        <f t="shared" si="2"/>
        <v>8700</v>
      </c>
      <c r="R107" s="587"/>
    </row>
    <row r="108" spans="9:18" x14ac:dyDescent="0.2">
      <c r="I108" s="584">
        <v>29</v>
      </c>
      <c r="J108" s="586">
        <v>29.9</v>
      </c>
      <c r="K108" s="584">
        <v>600</v>
      </c>
      <c r="L108" s="584">
        <v>600</v>
      </c>
      <c r="M108" s="584">
        <v>1500</v>
      </c>
      <c r="N108" s="584">
        <v>3000</v>
      </c>
      <c r="O108" s="584">
        <v>3000</v>
      </c>
      <c r="P108" s="584"/>
      <c r="Q108" s="584">
        <f t="shared" si="2"/>
        <v>8700</v>
      </c>
      <c r="R108" s="587"/>
    </row>
    <row r="109" spans="9:18" x14ac:dyDescent="0.2">
      <c r="I109" s="584">
        <v>30</v>
      </c>
      <c r="J109" s="586">
        <v>30</v>
      </c>
      <c r="K109" s="584">
        <v>3000</v>
      </c>
      <c r="L109" s="584">
        <v>3000</v>
      </c>
      <c r="M109" s="584">
        <v>3000</v>
      </c>
      <c r="N109" s="584"/>
      <c r="O109" s="584"/>
      <c r="P109" s="584"/>
      <c r="Q109" s="584">
        <f t="shared" si="2"/>
        <v>9000</v>
      </c>
      <c r="R109" s="587"/>
    </row>
    <row r="110" spans="9:18" x14ac:dyDescent="0.2">
      <c r="I110" s="584">
        <v>30</v>
      </c>
      <c r="J110" s="586">
        <v>30.9</v>
      </c>
      <c r="K110" s="584">
        <v>3000</v>
      </c>
      <c r="L110" s="584">
        <v>3000</v>
      </c>
      <c r="M110" s="584">
        <v>3000</v>
      </c>
      <c r="N110" s="584"/>
      <c r="O110" s="584"/>
      <c r="P110" s="584"/>
      <c r="Q110" s="584">
        <f t="shared" si="2"/>
        <v>9000</v>
      </c>
      <c r="R110" s="587"/>
    </row>
    <row r="111" spans="9:18" x14ac:dyDescent="0.2">
      <c r="I111" s="584">
        <v>31</v>
      </c>
      <c r="J111" s="586">
        <v>31</v>
      </c>
      <c r="K111" s="584">
        <v>1500</v>
      </c>
      <c r="L111" s="584">
        <v>2400</v>
      </c>
      <c r="M111" s="584">
        <v>2400</v>
      </c>
      <c r="N111" s="584">
        <v>3000</v>
      </c>
      <c r="O111" s="584"/>
      <c r="P111" s="584"/>
      <c r="Q111" s="584">
        <f t="shared" si="2"/>
        <v>9300</v>
      </c>
      <c r="R111" s="587"/>
    </row>
    <row r="112" spans="9:18" x14ac:dyDescent="0.2">
      <c r="I112" s="584">
        <v>31</v>
      </c>
      <c r="J112" s="586">
        <v>31.9</v>
      </c>
      <c r="K112" s="584">
        <v>1500</v>
      </c>
      <c r="L112" s="584">
        <v>2400</v>
      </c>
      <c r="M112" s="584">
        <v>2400</v>
      </c>
      <c r="N112" s="584">
        <v>3000</v>
      </c>
      <c r="O112" s="584"/>
      <c r="P112" s="584"/>
      <c r="Q112" s="584">
        <f t="shared" si="2"/>
        <v>9300</v>
      </c>
      <c r="R112" s="587"/>
    </row>
    <row r="113" spans="6:18" x14ac:dyDescent="0.2">
      <c r="I113" s="584">
        <v>32</v>
      </c>
      <c r="J113" s="586">
        <v>32</v>
      </c>
      <c r="K113" s="584">
        <v>2400</v>
      </c>
      <c r="L113" s="584">
        <v>2400</v>
      </c>
      <c r="M113" s="584">
        <v>2400</v>
      </c>
      <c r="N113" s="584">
        <v>2400</v>
      </c>
      <c r="O113" s="584"/>
      <c r="P113" s="584"/>
      <c r="Q113" s="584">
        <f t="shared" si="2"/>
        <v>9600</v>
      </c>
      <c r="R113" s="587"/>
    </row>
    <row r="114" spans="6:18" x14ac:dyDescent="0.2">
      <c r="I114" s="584">
        <v>32</v>
      </c>
      <c r="J114" s="586">
        <v>32.9</v>
      </c>
      <c r="K114" s="584">
        <v>2400</v>
      </c>
      <c r="L114" s="584">
        <v>2400</v>
      </c>
      <c r="M114" s="584">
        <v>2400</v>
      </c>
      <c r="N114" s="584">
        <v>2400</v>
      </c>
      <c r="O114" s="584"/>
      <c r="P114" s="584"/>
      <c r="Q114" s="584">
        <f t="shared" si="2"/>
        <v>9600</v>
      </c>
      <c r="R114" s="587"/>
    </row>
    <row r="115" spans="6:18" x14ac:dyDescent="0.2">
      <c r="I115" s="584">
        <v>33</v>
      </c>
      <c r="J115" s="586">
        <v>33</v>
      </c>
      <c r="K115" s="584">
        <v>1500</v>
      </c>
      <c r="L115" s="584">
        <v>2400</v>
      </c>
      <c r="M115" s="584">
        <v>3000</v>
      </c>
      <c r="N115" s="584">
        <v>3000</v>
      </c>
      <c r="O115" s="584"/>
      <c r="P115" s="584"/>
      <c r="Q115" s="584">
        <f t="shared" si="2"/>
        <v>9900</v>
      </c>
      <c r="R115" s="587"/>
    </row>
    <row r="116" spans="6:18" x14ac:dyDescent="0.2">
      <c r="I116" s="584">
        <v>33</v>
      </c>
      <c r="J116" s="586">
        <v>33.9</v>
      </c>
      <c r="K116" s="584">
        <v>1500</v>
      </c>
      <c r="L116" s="584">
        <v>2400</v>
      </c>
      <c r="M116" s="584">
        <v>3000</v>
      </c>
      <c r="N116" s="584">
        <v>3000</v>
      </c>
      <c r="O116" s="584"/>
      <c r="P116" s="584"/>
      <c r="Q116" s="584">
        <f t="shared" si="2"/>
        <v>9900</v>
      </c>
      <c r="R116" s="587"/>
    </row>
    <row r="117" spans="6:18" x14ac:dyDescent="0.2">
      <c r="I117" s="584">
        <v>34</v>
      </c>
      <c r="J117" s="586">
        <v>34</v>
      </c>
      <c r="K117" s="584">
        <v>600</v>
      </c>
      <c r="L117" s="584">
        <v>2400</v>
      </c>
      <c r="M117" s="584">
        <v>2400</v>
      </c>
      <c r="N117" s="584">
        <v>2400</v>
      </c>
      <c r="O117" s="584">
        <v>2400</v>
      </c>
      <c r="P117" s="584"/>
      <c r="Q117" s="584">
        <f t="shared" si="2"/>
        <v>10200</v>
      </c>
      <c r="R117" s="587"/>
    </row>
    <row r="118" spans="6:18" x14ac:dyDescent="0.2">
      <c r="I118" s="584">
        <v>34</v>
      </c>
      <c r="J118" s="586">
        <v>34.9</v>
      </c>
      <c r="K118" s="584">
        <v>600</v>
      </c>
      <c r="L118" s="584">
        <v>2400</v>
      </c>
      <c r="M118" s="584">
        <v>2400</v>
      </c>
      <c r="N118" s="584">
        <v>2400</v>
      </c>
      <c r="O118" s="584">
        <v>2400</v>
      </c>
      <c r="P118" s="584"/>
      <c r="Q118" s="584">
        <f t="shared" si="2"/>
        <v>10200</v>
      </c>
      <c r="R118" s="587"/>
    </row>
    <row r="119" spans="6:18" x14ac:dyDescent="0.2">
      <c r="I119" s="584">
        <v>35</v>
      </c>
      <c r="J119" s="586">
        <v>35</v>
      </c>
      <c r="K119" s="584">
        <v>1500</v>
      </c>
      <c r="L119" s="584">
        <v>3000</v>
      </c>
      <c r="M119" s="584">
        <v>3000</v>
      </c>
      <c r="N119" s="584">
        <v>3000</v>
      </c>
      <c r="O119" s="584"/>
      <c r="P119" s="584"/>
      <c r="Q119" s="584">
        <f t="shared" si="2"/>
        <v>10500</v>
      </c>
      <c r="R119" s="587"/>
    </row>
    <row r="120" spans="6:18" x14ac:dyDescent="0.2">
      <c r="I120" s="584">
        <v>35</v>
      </c>
      <c r="J120" s="586">
        <v>35.9</v>
      </c>
      <c r="K120" s="584">
        <v>1500</v>
      </c>
      <c r="L120" s="584">
        <v>3000</v>
      </c>
      <c r="M120" s="584">
        <v>3000</v>
      </c>
      <c r="N120" s="584">
        <v>3000</v>
      </c>
      <c r="O120" s="584"/>
      <c r="P120" s="584"/>
      <c r="Q120" s="584">
        <f t="shared" ref="Q120:Q135" si="3">K120+L120+M120+N120+O120+P120</f>
        <v>10500</v>
      </c>
      <c r="R120" s="587"/>
    </row>
    <row r="121" spans="6:18" x14ac:dyDescent="0.2">
      <c r="I121" s="584">
        <v>36</v>
      </c>
      <c r="J121" s="586">
        <v>36</v>
      </c>
      <c r="K121" s="584">
        <v>2400</v>
      </c>
      <c r="L121" s="584">
        <v>2400</v>
      </c>
      <c r="M121" s="584">
        <v>3000</v>
      </c>
      <c r="N121" s="584">
        <v>3000</v>
      </c>
      <c r="O121" s="584"/>
      <c r="P121" s="584"/>
      <c r="Q121" s="584">
        <f t="shared" si="3"/>
        <v>10800</v>
      </c>
      <c r="R121" s="587"/>
    </row>
    <row r="122" spans="6:18" x14ac:dyDescent="0.2">
      <c r="I122" s="584">
        <v>36</v>
      </c>
      <c r="J122" s="586">
        <v>36.9</v>
      </c>
      <c r="K122" s="584">
        <v>2400</v>
      </c>
      <c r="L122" s="584">
        <v>2400</v>
      </c>
      <c r="M122" s="584">
        <v>3000</v>
      </c>
      <c r="N122" s="584">
        <v>3000</v>
      </c>
      <c r="O122" s="584"/>
      <c r="P122" s="584"/>
      <c r="Q122" s="584">
        <f t="shared" si="3"/>
        <v>10800</v>
      </c>
      <c r="R122" s="587"/>
    </row>
    <row r="123" spans="6:18" x14ac:dyDescent="0.2">
      <c r="I123" s="584">
        <v>37</v>
      </c>
      <c r="J123" s="586">
        <v>37</v>
      </c>
      <c r="K123" s="584">
        <v>600</v>
      </c>
      <c r="L123" s="584">
        <v>1500</v>
      </c>
      <c r="M123" s="584">
        <v>3000</v>
      </c>
      <c r="N123" s="584">
        <v>3000</v>
      </c>
      <c r="O123" s="584">
        <v>3000</v>
      </c>
      <c r="P123" s="584"/>
      <c r="Q123" s="584">
        <f t="shared" si="3"/>
        <v>11100</v>
      </c>
      <c r="R123" s="587"/>
    </row>
    <row r="124" spans="6:18" x14ac:dyDescent="0.2">
      <c r="I124" s="584">
        <v>37</v>
      </c>
      <c r="J124" s="586">
        <v>37.9</v>
      </c>
      <c r="K124" s="584">
        <v>600</v>
      </c>
      <c r="L124" s="584">
        <v>1500</v>
      </c>
      <c r="M124" s="584">
        <v>3000</v>
      </c>
      <c r="N124" s="584">
        <v>3000</v>
      </c>
      <c r="O124" s="584">
        <v>3000</v>
      </c>
      <c r="P124" s="584"/>
      <c r="Q124" s="584">
        <f t="shared" si="3"/>
        <v>11100</v>
      </c>
      <c r="R124" s="587"/>
    </row>
    <row r="125" spans="6:18" x14ac:dyDescent="0.2">
      <c r="I125" s="584">
        <v>38</v>
      </c>
      <c r="J125" s="586">
        <v>38</v>
      </c>
      <c r="K125" s="584">
        <v>2400</v>
      </c>
      <c r="L125" s="584">
        <v>3000</v>
      </c>
      <c r="M125" s="584">
        <v>3000</v>
      </c>
      <c r="N125" s="584">
        <v>3000</v>
      </c>
      <c r="O125" s="584"/>
      <c r="P125" s="584"/>
      <c r="Q125" s="584">
        <f t="shared" si="3"/>
        <v>11400</v>
      </c>
      <c r="R125" s="587"/>
    </row>
    <row r="126" spans="6:18" x14ac:dyDescent="0.2">
      <c r="I126" s="584">
        <v>38</v>
      </c>
      <c r="J126" s="586">
        <v>38.9</v>
      </c>
      <c r="K126" s="584">
        <v>2400</v>
      </c>
      <c r="L126" s="584">
        <v>3000</v>
      </c>
      <c r="M126" s="584">
        <v>3000</v>
      </c>
      <c r="N126" s="584">
        <v>3000</v>
      </c>
      <c r="O126" s="584"/>
      <c r="P126" s="584"/>
      <c r="Q126" s="584">
        <f t="shared" si="3"/>
        <v>11400</v>
      </c>
      <c r="R126" s="587"/>
    </row>
    <row r="127" spans="6:18" x14ac:dyDescent="0.2">
      <c r="F127" s="63"/>
      <c r="I127" s="584">
        <v>39</v>
      </c>
      <c r="J127" s="586">
        <v>39</v>
      </c>
      <c r="K127" s="584">
        <v>1500</v>
      </c>
      <c r="L127" s="584">
        <v>1500</v>
      </c>
      <c r="M127" s="584">
        <v>1500</v>
      </c>
      <c r="N127" s="584">
        <v>2400</v>
      </c>
      <c r="O127" s="584">
        <v>2400</v>
      </c>
      <c r="P127" s="584">
        <v>2400</v>
      </c>
      <c r="Q127" s="584">
        <f t="shared" si="3"/>
        <v>11700</v>
      </c>
      <c r="R127" s="587"/>
    </row>
    <row r="128" spans="6:18" x14ac:dyDescent="0.2">
      <c r="F128" s="63"/>
      <c r="I128" s="584">
        <v>39</v>
      </c>
      <c r="J128" s="586">
        <v>39.9</v>
      </c>
      <c r="K128" s="584">
        <v>1500</v>
      </c>
      <c r="L128" s="584">
        <v>1500</v>
      </c>
      <c r="M128" s="584">
        <v>1500</v>
      </c>
      <c r="N128" s="584">
        <v>2400</v>
      </c>
      <c r="O128" s="584">
        <v>2400</v>
      </c>
      <c r="P128" s="584">
        <v>2400</v>
      </c>
      <c r="Q128" s="584">
        <f t="shared" si="3"/>
        <v>11700</v>
      </c>
      <c r="R128" s="587"/>
    </row>
    <row r="129" spans="9:18" x14ac:dyDescent="0.2">
      <c r="I129" s="584">
        <v>40</v>
      </c>
      <c r="J129" s="586">
        <v>40</v>
      </c>
      <c r="K129" s="584">
        <v>3000</v>
      </c>
      <c r="L129" s="584">
        <v>3000</v>
      </c>
      <c r="M129" s="584">
        <v>3000</v>
      </c>
      <c r="N129" s="584">
        <v>3000</v>
      </c>
      <c r="O129" s="584"/>
      <c r="P129" s="584"/>
      <c r="Q129" s="584">
        <f t="shared" si="3"/>
        <v>12000</v>
      </c>
      <c r="R129" s="587"/>
    </row>
    <row r="130" spans="9:18" x14ac:dyDescent="0.2">
      <c r="I130" s="584">
        <v>40</v>
      </c>
      <c r="J130" s="586">
        <v>40.9</v>
      </c>
      <c r="K130" s="584">
        <v>3000</v>
      </c>
      <c r="L130" s="584">
        <v>3000</v>
      </c>
      <c r="M130" s="584">
        <v>3000</v>
      </c>
      <c r="N130" s="584">
        <v>3000</v>
      </c>
      <c r="O130" s="584"/>
      <c r="P130" s="584"/>
      <c r="Q130" s="584">
        <f t="shared" si="3"/>
        <v>12000</v>
      </c>
      <c r="R130" s="587"/>
    </row>
    <row r="131" spans="9:18" x14ac:dyDescent="0.2">
      <c r="I131" s="584">
        <v>41</v>
      </c>
      <c r="J131" s="586">
        <v>41</v>
      </c>
      <c r="K131" s="584">
        <v>600</v>
      </c>
      <c r="L131" s="584">
        <v>1500</v>
      </c>
      <c r="M131" s="584">
        <v>2400</v>
      </c>
      <c r="N131" s="584">
        <v>2400</v>
      </c>
      <c r="O131" s="584">
        <v>2400</v>
      </c>
      <c r="P131" s="584">
        <v>3000</v>
      </c>
      <c r="Q131" s="584">
        <f t="shared" si="3"/>
        <v>12300</v>
      </c>
      <c r="R131" s="587"/>
    </row>
    <row r="132" spans="9:18" x14ac:dyDescent="0.2">
      <c r="I132" s="584">
        <v>41</v>
      </c>
      <c r="J132" s="586">
        <v>41.9</v>
      </c>
      <c r="K132" s="584">
        <v>600</v>
      </c>
      <c r="L132" s="584">
        <v>1500</v>
      </c>
      <c r="M132" s="584">
        <v>2400</v>
      </c>
      <c r="N132" s="584">
        <v>2400</v>
      </c>
      <c r="O132" s="584">
        <v>2400</v>
      </c>
      <c r="P132" s="584">
        <v>3000</v>
      </c>
      <c r="Q132" s="584">
        <f t="shared" si="3"/>
        <v>12300</v>
      </c>
      <c r="R132" s="587"/>
    </row>
    <row r="133" spans="9:18" x14ac:dyDescent="0.2">
      <c r="I133" s="584">
        <v>42</v>
      </c>
      <c r="J133" s="586">
        <v>42</v>
      </c>
      <c r="K133" s="584">
        <v>600</v>
      </c>
      <c r="L133" s="584">
        <v>3000</v>
      </c>
      <c r="M133" s="584">
        <v>3000</v>
      </c>
      <c r="N133" s="584">
        <v>3000</v>
      </c>
      <c r="O133" s="584">
        <v>3000</v>
      </c>
      <c r="P133" s="584"/>
      <c r="Q133" s="584">
        <f t="shared" si="3"/>
        <v>12600</v>
      </c>
      <c r="R133" s="587"/>
    </row>
    <row r="134" spans="9:18" x14ac:dyDescent="0.2">
      <c r="I134" s="584">
        <v>42</v>
      </c>
      <c r="J134" s="586">
        <v>42.9</v>
      </c>
      <c r="K134" s="584">
        <v>600</v>
      </c>
      <c r="L134" s="584">
        <v>3000</v>
      </c>
      <c r="M134" s="584">
        <v>3000</v>
      </c>
      <c r="N134" s="584">
        <v>3000</v>
      </c>
      <c r="O134" s="584">
        <v>3000</v>
      </c>
      <c r="P134" s="584"/>
      <c r="Q134" s="584">
        <f t="shared" si="3"/>
        <v>12600</v>
      </c>
      <c r="R134" s="587"/>
    </row>
    <row r="135" spans="9:18" x14ac:dyDescent="0.2">
      <c r="I135" s="584">
        <v>43</v>
      </c>
      <c r="J135" s="586">
        <v>43</v>
      </c>
      <c r="K135" s="584">
        <v>1500</v>
      </c>
      <c r="L135" s="584">
        <v>2400</v>
      </c>
      <c r="M135" s="584">
        <v>3000</v>
      </c>
      <c r="N135" s="584">
        <v>3000</v>
      </c>
      <c r="O135" s="584">
        <v>3000</v>
      </c>
      <c r="P135" s="584"/>
      <c r="Q135" s="584">
        <f t="shared" si="3"/>
        <v>12900</v>
      </c>
      <c r="R135" s="587"/>
    </row>
    <row r="136" spans="9:18" x14ac:dyDescent="0.2">
      <c r="I136" s="584">
        <v>43</v>
      </c>
      <c r="J136" s="586">
        <v>43.9</v>
      </c>
      <c r="K136" s="584">
        <v>1500</v>
      </c>
      <c r="L136" s="584">
        <v>2400</v>
      </c>
      <c r="M136" s="584">
        <v>3000</v>
      </c>
      <c r="N136" s="584">
        <v>3000</v>
      </c>
      <c r="O136" s="584">
        <v>3000</v>
      </c>
      <c r="P136" s="584"/>
      <c r="Q136" s="584">
        <f t="shared" ref="Q136:Q148" si="4">K136+L136+M136+N136+O136+P136</f>
        <v>12900</v>
      </c>
      <c r="R136" s="587"/>
    </row>
    <row r="137" spans="9:18" x14ac:dyDescent="0.2">
      <c r="I137" s="584">
        <v>44</v>
      </c>
      <c r="J137" s="586">
        <v>44</v>
      </c>
      <c r="K137" s="584">
        <v>600</v>
      </c>
      <c r="L137" s="584">
        <v>600</v>
      </c>
      <c r="M137" s="584">
        <v>3000</v>
      </c>
      <c r="N137" s="584">
        <v>3000</v>
      </c>
      <c r="O137" s="584">
        <v>3000</v>
      </c>
      <c r="P137" s="584">
        <v>3000</v>
      </c>
      <c r="Q137" s="584">
        <f t="shared" si="4"/>
        <v>13200</v>
      </c>
      <c r="R137" s="587"/>
    </row>
    <row r="138" spans="9:18" x14ac:dyDescent="0.2">
      <c r="I138" s="584">
        <v>44</v>
      </c>
      <c r="J138" s="586">
        <v>44.9</v>
      </c>
      <c r="K138" s="584">
        <v>600</v>
      </c>
      <c r="L138" s="584">
        <v>600</v>
      </c>
      <c r="M138" s="584">
        <v>3000</v>
      </c>
      <c r="N138" s="584">
        <v>3000</v>
      </c>
      <c r="O138" s="584">
        <v>3000</v>
      </c>
      <c r="P138" s="584">
        <v>3000</v>
      </c>
      <c r="Q138" s="584">
        <f t="shared" si="4"/>
        <v>13200</v>
      </c>
      <c r="R138" s="587"/>
    </row>
    <row r="139" spans="9:18" x14ac:dyDescent="0.2">
      <c r="I139" s="584">
        <v>45</v>
      </c>
      <c r="J139" s="586">
        <v>45</v>
      </c>
      <c r="K139" s="584">
        <v>1500</v>
      </c>
      <c r="L139" s="584">
        <v>3000</v>
      </c>
      <c r="M139" s="584">
        <v>3000</v>
      </c>
      <c r="N139" s="584">
        <v>3000</v>
      </c>
      <c r="O139" s="584">
        <v>3000</v>
      </c>
      <c r="P139" s="584"/>
      <c r="Q139" s="584">
        <f t="shared" si="4"/>
        <v>13500</v>
      </c>
      <c r="R139" s="587"/>
    </row>
    <row r="140" spans="9:18" x14ac:dyDescent="0.2">
      <c r="I140" s="584">
        <v>45</v>
      </c>
      <c r="J140" s="586">
        <v>45.9</v>
      </c>
      <c r="K140" s="584">
        <v>1500</v>
      </c>
      <c r="L140" s="584">
        <v>3000</v>
      </c>
      <c r="M140" s="584">
        <v>3000</v>
      </c>
      <c r="N140" s="584">
        <v>3000</v>
      </c>
      <c r="O140" s="584">
        <v>3000</v>
      </c>
      <c r="P140" s="584"/>
      <c r="Q140" s="584">
        <f t="shared" si="4"/>
        <v>13500</v>
      </c>
      <c r="R140" s="587"/>
    </row>
    <row r="141" spans="9:18" x14ac:dyDescent="0.2">
      <c r="I141" s="584">
        <v>46</v>
      </c>
      <c r="J141" s="586">
        <v>46</v>
      </c>
      <c r="K141" s="584">
        <v>2400</v>
      </c>
      <c r="L141" s="584">
        <v>2400</v>
      </c>
      <c r="M141" s="584">
        <v>3000</v>
      </c>
      <c r="N141" s="584">
        <v>3000</v>
      </c>
      <c r="O141" s="584">
        <v>3000</v>
      </c>
      <c r="P141" s="584"/>
      <c r="Q141" s="584">
        <f t="shared" si="4"/>
        <v>13800</v>
      </c>
      <c r="R141" s="587"/>
    </row>
    <row r="142" spans="9:18" x14ac:dyDescent="0.2">
      <c r="I142" s="584">
        <v>46</v>
      </c>
      <c r="J142" s="586">
        <v>46.9</v>
      </c>
      <c r="K142" s="584">
        <v>2400</v>
      </c>
      <c r="L142" s="584">
        <v>2400</v>
      </c>
      <c r="M142" s="584">
        <v>3000</v>
      </c>
      <c r="N142" s="584">
        <v>3000</v>
      </c>
      <c r="O142" s="584">
        <v>3000</v>
      </c>
      <c r="P142" s="584"/>
      <c r="Q142" s="584">
        <f t="shared" si="4"/>
        <v>13800</v>
      </c>
      <c r="R142" s="587"/>
    </row>
    <row r="143" spans="9:18" x14ac:dyDescent="0.2">
      <c r="I143" s="584">
        <v>47</v>
      </c>
      <c r="J143" s="586">
        <v>47</v>
      </c>
      <c r="K143" s="584">
        <v>600</v>
      </c>
      <c r="L143" s="584">
        <v>1500</v>
      </c>
      <c r="M143" s="584">
        <v>3000</v>
      </c>
      <c r="N143" s="584">
        <v>3000</v>
      </c>
      <c r="O143" s="584">
        <v>3000</v>
      </c>
      <c r="P143" s="584">
        <v>3000</v>
      </c>
      <c r="Q143" s="584">
        <f t="shared" si="4"/>
        <v>14100</v>
      </c>
      <c r="R143" s="587"/>
    </row>
    <row r="144" spans="9:18" x14ac:dyDescent="0.2">
      <c r="I144" s="584">
        <v>47</v>
      </c>
      <c r="J144" s="586">
        <v>47.9</v>
      </c>
      <c r="K144" s="584">
        <v>600</v>
      </c>
      <c r="L144" s="584">
        <v>1500</v>
      </c>
      <c r="M144" s="584">
        <v>3000</v>
      </c>
      <c r="N144" s="584">
        <v>3000</v>
      </c>
      <c r="O144" s="584">
        <v>3000</v>
      </c>
      <c r="P144" s="584">
        <v>3000</v>
      </c>
      <c r="Q144" s="584">
        <f t="shared" si="4"/>
        <v>14100</v>
      </c>
      <c r="R144" s="587"/>
    </row>
    <row r="145" spans="9:18" x14ac:dyDescent="0.2">
      <c r="I145" s="584">
        <v>48</v>
      </c>
      <c r="J145" s="586">
        <v>48</v>
      </c>
      <c r="K145" s="584">
        <v>2400</v>
      </c>
      <c r="L145" s="584">
        <v>3000</v>
      </c>
      <c r="M145" s="584">
        <v>3000</v>
      </c>
      <c r="N145" s="584">
        <v>3000</v>
      </c>
      <c r="O145" s="584">
        <v>3000</v>
      </c>
      <c r="P145" s="584"/>
      <c r="Q145" s="584">
        <f t="shared" si="4"/>
        <v>14400</v>
      </c>
      <c r="R145" s="587"/>
    </row>
    <row r="146" spans="9:18" x14ac:dyDescent="0.2">
      <c r="I146" s="584">
        <v>48</v>
      </c>
      <c r="J146" s="586">
        <v>48.9</v>
      </c>
      <c r="K146" s="584">
        <v>2400</v>
      </c>
      <c r="L146" s="584">
        <v>3000</v>
      </c>
      <c r="M146" s="584">
        <v>3000</v>
      </c>
      <c r="N146" s="584">
        <v>3000</v>
      </c>
      <c r="O146" s="584">
        <v>3000</v>
      </c>
      <c r="P146" s="584"/>
      <c r="Q146" s="584">
        <f t="shared" si="4"/>
        <v>14400</v>
      </c>
      <c r="R146" s="587"/>
    </row>
    <row r="147" spans="9:18" x14ac:dyDescent="0.2">
      <c r="I147" s="584">
        <v>49</v>
      </c>
      <c r="J147" s="586">
        <v>49</v>
      </c>
      <c r="K147" s="584">
        <v>1500</v>
      </c>
      <c r="L147" s="584">
        <v>2400</v>
      </c>
      <c r="M147" s="584">
        <v>2400</v>
      </c>
      <c r="N147" s="584">
        <v>2400</v>
      </c>
      <c r="O147" s="584">
        <v>3000</v>
      </c>
      <c r="P147" s="584">
        <v>3000</v>
      </c>
      <c r="Q147" s="584">
        <f t="shared" si="4"/>
        <v>14700</v>
      </c>
      <c r="R147" s="587"/>
    </row>
    <row r="148" spans="9:18" x14ac:dyDescent="0.2">
      <c r="I148" s="584">
        <v>49</v>
      </c>
      <c r="J148" s="586">
        <v>49.9</v>
      </c>
      <c r="K148" s="584">
        <v>1500</v>
      </c>
      <c r="L148" s="584">
        <v>2400</v>
      </c>
      <c r="M148" s="584">
        <v>2400</v>
      </c>
      <c r="N148" s="584">
        <v>2400</v>
      </c>
      <c r="O148" s="584">
        <v>3000</v>
      </c>
      <c r="P148" s="584">
        <v>3000</v>
      </c>
      <c r="Q148" s="584">
        <f t="shared" si="4"/>
        <v>14700</v>
      </c>
      <c r="R148" s="587"/>
    </row>
    <row r="149" spans="9:18" x14ac:dyDescent="0.2">
      <c r="I149" s="584">
        <v>50</v>
      </c>
      <c r="J149" s="586">
        <v>50</v>
      </c>
      <c r="K149" s="584">
        <v>3000</v>
      </c>
      <c r="L149" s="584">
        <v>3000</v>
      </c>
      <c r="M149" s="584">
        <v>3000</v>
      </c>
      <c r="N149" s="584">
        <v>3000</v>
      </c>
      <c r="O149" s="584">
        <v>3000</v>
      </c>
      <c r="P149" s="584"/>
      <c r="Q149" s="584">
        <f t="shared" ref="Q149:Q156" si="5">K149+L149+M149+N149+O149+P149</f>
        <v>15000</v>
      </c>
      <c r="R149" s="587"/>
    </row>
    <row r="150" spans="9:18" x14ac:dyDescent="0.2">
      <c r="I150" s="584">
        <v>50</v>
      </c>
      <c r="J150" s="586">
        <v>51.9</v>
      </c>
      <c r="K150" s="584">
        <v>3000</v>
      </c>
      <c r="L150" s="584">
        <v>3000</v>
      </c>
      <c r="M150" s="584">
        <v>3000</v>
      </c>
      <c r="N150" s="584">
        <v>3000</v>
      </c>
      <c r="O150" s="584">
        <v>3000</v>
      </c>
      <c r="P150" s="584"/>
      <c r="Q150" s="584">
        <f t="shared" si="5"/>
        <v>15000</v>
      </c>
      <c r="R150" s="587"/>
    </row>
    <row r="151" spans="9:18" x14ac:dyDescent="0.2">
      <c r="I151" s="584">
        <v>52</v>
      </c>
      <c r="J151" s="586">
        <v>52</v>
      </c>
      <c r="K151" s="584">
        <v>600</v>
      </c>
      <c r="L151" s="584">
        <v>3000</v>
      </c>
      <c r="M151" s="584">
        <v>3000</v>
      </c>
      <c r="N151" s="584">
        <v>3000</v>
      </c>
      <c r="O151" s="584">
        <v>3000</v>
      </c>
      <c r="P151" s="584">
        <v>3000</v>
      </c>
      <c r="Q151" s="584">
        <f t="shared" si="5"/>
        <v>15600</v>
      </c>
      <c r="R151" s="587"/>
    </row>
    <row r="152" spans="9:18" x14ac:dyDescent="0.2">
      <c r="I152" s="584">
        <v>52</v>
      </c>
      <c r="J152" s="586">
        <v>52.9</v>
      </c>
      <c r="K152" s="584">
        <v>600</v>
      </c>
      <c r="L152" s="584">
        <v>3000</v>
      </c>
      <c r="M152" s="584">
        <v>3000</v>
      </c>
      <c r="N152" s="584">
        <v>3000</v>
      </c>
      <c r="O152" s="584">
        <v>3000</v>
      </c>
      <c r="P152" s="584">
        <v>3000</v>
      </c>
      <c r="Q152" s="584">
        <f t="shared" si="5"/>
        <v>15600</v>
      </c>
      <c r="R152" s="587"/>
    </row>
    <row r="153" spans="9:18" x14ac:dyDescent="0.2">
      <c r="I153" s="584">
        <v>53</v>
      </c>
      <c r="J153" s="586">
        <v>53</v>
      </c>
      <c r="K153" s="584">
        <v>1500</v>
      </c>
      <c r="L153" s="584">
        <v>2400</v>
      </c>
      <c r="M153" s="584">
        <v>3000</v>
      </c>
      <c r="N153" s="584">
        <v>3000</v>
      </c>
      <c r="O153" s="584">
        <v>3000</v>
      </c>
      <c r="P153" s="584">
        <v>3000</v>
      </c>
      <c r="Q153" s="584">
        <f t="shared" si="5"/>
        <v>15900</v>
      </c>
      <c r="R153" s="587"/>
    </row>
    <row r="154" spans="9:18" x14ac:dyDescent="0.2">
      <c r="I154" s="584">
        <v>53</v>
      </c>
      <c r="J154" s="586">
        <v>53.9</v>
      </c>
      <c r="K154" s="584">
        <v>1500</v>
      </c>
      <c r="L154" s="584">
        <v>2400</v>
      </c>
      <c r="M154" s="584">
        <v>3000</v>
      </c>
      <c r="N154" s="584">
        <v>3000</v>
      </c>
      <c r="O154" s="584">
        <v>3000</v>
      </c>
      <c r="P154" s="584">
        <v>3000</v>
      </c>
      <c r="Q154" s="584">
        <f t="shared" si="5"/>
        <v>15900</v>
      </c>
      <c r="R154" s="587"/>
    </row>
    <row r="155" spans="9:18" x14ac:dyDescent="0.2">
      <c r="I155" s="584">
        <v>54</v>
      </c>
      <c r="J155" s="586">
        <v>54</v>
      </c>
      <c r="K155" s="584">
        <v>2400</v>
      </c>
      <c r="L155" s="584">
        <v>2400</v>
      </c>
      <c r="M155" s="584">
        <v>2400</v>
      </c>
      <c r="N155" s="584">
        <v>3000</v>
      </c>
      <c r="O155" s="584">
        <v>3000</v>
      </c>
      <c r="P155" s="584">
        <v>3000</v>
      </c>
      <c r="Q155" s="584">
        <f t="shared" si="5"/>
        <v>16200</v>
      </c>
      <c r="R155" s="587"/>
    </row>
    <row r="156" spans="9:18" x14ac:dyDescent="0.2">
      <c r="I156" s="584">
        <v>54</v>
      </c>
      <c r="J156" s="586">
        <v>54.9</v>
      </c>
      <c r="K156" s="584">
        <v>2400</v>
      </c>
      <c r="L156" s="584">
        <v>2400</v>
      </c>
      <c r="M156" s="584">
        <v>2400</v>
      </c>
      <c r="N156" s="584">
        <v>3000</v>
      </c>
      <c r="O156" s="584">
        <v>3000</v>
      </c>
      <c r="P156" s="584">
        <v>3000</v>
      </c>
      <c r="Q156" s="584">
        <f t="shared" si="5"/>
        <v>16200</v>
      </c>
      <c r="R156" s="587"/>
    </row>
    <row r="157" spans="9:18" x14ac:dyDescent="0.2">
      <c r="I157" s="584">
        <v>55</v>
      </c>
      <c r="J157" s="586">
        <v>55</v>
      </c>
      <c r="K157" s="584">
        <v>1500</v>
      </c>
      <c r="L157" s="584">
        <v>3000</v>
      </c>
      <c r="M157" s="584">
        <v>3000</v>
      </c>
      <c r="N157" s="584">
        <v>3000</v>
      </c>
      <c r="O157" s="584">
        <v>3000</v>
      </c>
      <c r="P157" s="584">
        <v>3000</v>
      </c>
      <c r="Q157" s="584">
        <f t="shared" ref="Q157:Q163" si="6">K157+L157+M157+N157+O157+P157</f>
        <v>16500</v>
      </c>
      <c r="R157" s="587"/>
    </row>
    <row r="158" spans="9:18" x14ac:dyDescent="0.2">
      <c r="I158" s="584">
        <v>55</v>
      </c>
      <c r="J158" s="586">
        <v>55.9</v>
      </c>
      <c r="K158" s="584">
        <v>1500</v>
      </c>
      <c r="L158" s="584">
        <v>3000</v>
      </c>
      <c r="M158" s="584">
        <v>3000</v>
      </c>
      <c r="N158" s="584">
        <v>3000</v>
      </c>
      <c r="O158" s="584">
        <v>3000</v>
      </c>
      <c r="P158" s="584">
        <v>3000</v>
      </c>
      <c r="Q158" s="584">
        <f t="shared" si="6"/>
        <v>16500</v>
      </c>
      <c r="R158" s="587"/>
    </row>
    <row r="159" spans="9:18" x14ac:dyDescent="0.2">
      <c r="I159" s="584">
        <v>56</v>
      </c>
      <c r="J159" s="586">
        <v>56</v>
      </c>
      <c r="K159" s="584">
        <v>2400</v>
      </c>
      <c r="L159" s="584">
        <v>2400</v>
      </c>
      <c r="M159" s="584">
        <v>3000</v>
      </c>
      <c r="N159" s="584">
        <v>3000</v>
      </c>
      <c r="O159" s="584">
        <v>3000</v>
      </c>
      <c r="P159" s="584">
        <v>3000</v>
      </c>
      <c r="Q159" s="584">
        <f t="shared" si="6"/>
        <v>16800</v>
      </c>
      <c r="R159" s="587"/>
    </row>
    <row r="160" spans="9:18" x14ac:dyDescent="0.2">
      <c r="I160" s="584">
        <v>56</v>
      </c>
      <c r="J160" s="586">
        <v>57.9</v>
      </c>
      <c r="K160" s="584">
        <v>2400</v>
      </c>
      <c r="L160" s="584">
        <v>2400</v>
      </c>
      <c r="M160" s="584">
        <v>3000</v>
      </c>
      <c r="N160" s="584">
        <v>3000</v>
      </c>
      <c r="O160" s="584">
        <v>3000</v>
      </c>
      <c r="P160" s="584">
        <v>3000</v>
      </c>
      <c r="Q160" s="584">
        <f t="shared" si="6"/>
        <v>16800</v>
      </c>
      <c r="R160" s="587"/>
    </row>
    <row r="161" spans="9:18" x14ac:dyDescent="0.2">
      <c r="I161" s="584">
        <v>58</v>
      </c>
      <c r="J161" s="586">
        <v>58</v>
      </c>
      <c r="K161" s="584">
        <v>2400</v>
      </c>
      <c r="L161" s="584">
        <v>3000</v>
      </c>
      <c r="M161" s="584">
        <v>3000</v>
      </c>
      <c r="N161" s="584">
        <v>3000</v>
      </c>
      <c r="O161" s="584">
        <v>3000</v>
      </c>
      <c r="P161" s="584">
        <v>3000</v>
      </c>
      <c r="Q161" s="584">
        <f t="shared" si="6"/>
        <v>17400</v>
      </c>
      <c r="R161" s="587"/>
    </row>
    <row r="162" spans="9:18" x14ac:dyDescent="0.2">
      <c r="I162" s="584">
        <v>58</v>
      </c>
      <c r="J162" s="586">
        <v>59.5</v>
      </c>
      <c r="K162" s="584">
        <v>2400</v>
      </c>
      <c r="L162" s="584">
        <v>3000</v>
      </c>
      <c r="M162" s="584">
        <v>3000</v>
      </c>
      <c r="N162" s="584">
        <v>3000</v>
      </c>
      <c r="O162" s="584">
        <v>3000</v>
      </c>
      <c r="P162" s="584">
        <v>3000</v>
      </c>
      <c r="Q162" s="584">
        <f t="shared" si="6"/>
        <v>17400</v>
      </c>
      <c r="R162" s="587"/>
    </row>
    <row r="163" spans="9:18" x14ac:dyDescent="0.2">
      <c r="I163" s="584">
        <v>60</v>
      </c>
      <c r="J163" s="586">
        <v>59.6</v>
      </c>
      <c r="K163" s="584">
        <v>3000</v>
      </c>
      <c r="L163" s="584">
        <v>3000</v>
      </c>
      <c r="M163" s="584">
        <v>3000</v>
      </c>
      <c r="N163" s="584">
        <v>3000</v>
      </c>
      <c r="O163" s="584">
        <v>3000</v>
      </c>
      <c r="P163" s="584">
        <v>3000</v>
      </c>
      <c r="Q163" s="584">
        <f t="shared" si="6"/>
        <v>18000</v>
      </c>
      <c r="R163" s="587"/>
    </row>
    <row r="164" spans="9:18" x14ac:dyDescent="0.2">
      <c r="I164" s="584">
        <v>60</v>
      </c>
      <c r="J164" s="586">
        <v>60</v>
      </c>
      <c r="K164" s="584">
        <v>3000</v>
      </c>
      <c r="L164" s="584">
        <v>3000</v>
      </c>
      <c r="M164" s="584">
        <v>3000</v>
      </c>
      <c r="N164" s="584">
        <v>3000</v>
      </c>
      <c r="O164" s="584">
        <v>3000</v>
      </c>
      <c r="P164" s="584">
        <v>3000</v>
      </c>
      <c r="Q164" s="584">
        <f>K164+L164+M164+N164+O164+P164</f>
        <v>18000</v>
      </c>
      <c r="R164" s="587"/>
    </row>
    <row r="165" spans="9:18" x14ac:dyDescent="0.2">
      <c r="I165" s="584"/>
      <c r="J165" s="586"/>
      <c r="K165" s="584"/>
      <c r="L165" s="584"/>
      <c r="M165" s="584"/>
      <c r="N165" s="584"/>
      <c r="O165" s="584"/>
      <c r="P165" s="584"/>
      <c r="Q165" s="584"/>
      <c r="R165" s="587"/>
    </row>
    <row r="166" spans="9:18" x14ac:dyDescent="0.2">
      <c r="I166" s="593"/>
      <c r="J166" s="587"/>
      <c r="K166" s="587"/>
      <c r="L166" s="590"/>
      <c r="M166" s="587"/>
      <c r="N166" s="587"/>
      <c r="O166" s="587"/>
      <c r="P166" s="587"/>
      <c r="Q166" s="587"/>
      <c r="R166" s="587"/>
    </row>
  </sheetData>
  <autoFilter ref="H18:H37" xr:uid="{00000000-0009-0000-0000-000000000000}"/>
  <mergeCells count="40">
    <mergeCell ref="A58:G58"/>
    <mergeCell ref="A59:G59"/>
    <mergeCell ref="A60:G60"/>
    <mergeCell ref="A61:G61"/>
    <mergeCell ref="A57:G57"/>
    <mergeCell ref="A56:G56"/>
    <mergeCell ref="A9:F9"/>
    <mergeCell ref="A10:F10"/>
    <mergeCell ref="A16:G16"/>
    <mergeCell ref="B17:B18"/>
    <mergeCell ref="C17:C18"/>
    <mergeCell ref="D17:D18"/>
    <mergeCell ref="E17:E18"/>
    <mergeCell ref="A19:F19"/>
    <mergeCell ref="A24:F24"/>
    <mergeCell ref="A35:F35"/>
    <mergeCell ref="B36:F36"/>
    <mergeCell ref="A55:G55"/>
    <mergeCell ref="A39:G39"/>
    <mergeCell ref="A40:G40"/>
    <mergeCell ref="A41:C41"/>
    <mergeCell ref="A6:C6"/>
    <mergeCell ref="C1:G1"/>
    <mergeCell ref="A2:C2"/>
    <mergeCell ref="A4:C4"/>
    <mergeCell ref="A5:C5"/>
    <mergeCell ref="A69:G69"/>
    <mergeCell ref="A62:G62"/>
    <mergeCell ref="A63:G63"/>
    <mergeCell ref="A66:G66"/>
    <mergeCell ref="A67:G67"/>
    <mergeCell ref="A68:G68"/>
    <mergeCell ref="B51:C51"/>
    <mergeCell ref="A12:B12"/>
    <mergeCell ref="A7:C7"/>
    <mergeCell ref="A43:G43"/>
    <mergeCell ref="A44:G44"/>
    <mergeCell ref="A45:G45"/>
    <mergeCell ref="A46:G46"/>
    <mergeCell ref="A47:G47"/>
  </mergeCells>
  <conditionalFormatting sqref="A12:B12 C13:D13">
    <cfRule type="expression" dxfId="37" priority="3">
      <formula>$D$13="x"</formula>
    </cfRule>
  </conditionalFormatting>
  <conditionalFormatting sqref="A12:D12">
    <cfRule type="expression" dxfId="36" priority="4">
      <formula>$D$12="x"</formula>
    </cfRule>
  </conditionalFormatting>
  <conditionalFormatting sqref="C11:D11 A12:B12">
    <cfRule type="expression" dxfId="35" priority="5">
      <formula>$D$11="x"</formula>
    </cfRule>
  </conditionalFormatting>
  <conditionalFormatting sqref="G10">
    <cfRule type="cellIs" dxfId="34" priority="1" operator="between">
      <formula>60.1</formula>
      <formula>400</formula>
    </cfRule>
    <cfRule type="cellIs" dxfId="33" priority="2" operator="between">
      <formula>2</formula>
      <formula>60</formula>
    </cfRule>
  </conditionalFormatting>
  <hyperlinks>
    <hyperlink ref="B50" r:id="rId1" xr:uid="{87B27774-1925-4257-93C9-27EA90DAECDF}"/>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79F7D-E4E7-4494-A4FD-AA97B2A07923}">
  <sheetPr codeName="Foaie6">
    <tabColor rgb="FFFFFF00"/>
  </sheetPr>
  <dimension ref="A1:Y128"/>
  <sheetViews>
    <sheetView zoomScaleNormal="100" zoomScaleSheetLayoutView="100" workbookViewId="0">
      <selection activeCell="K5" sqref="K5"/>
    </sheetView>
  </sheetViews>
  <sheetFormatPr defaultColWidth="9.109375" defaultRowHeight="11.4" x14ac:dyDescent="0.2"/>
  <cols>
    <col min="1" max="1" width="5.77734375" style="5" customWidth="1"/>
    <col min="2" max="2" width="8.21875" style="5" customWidth="1"/>
    <col min="3" max="3" width="61.5546875" style="5" customWidth="1"/>
    <col min="4" max="4" width="9" style="5" customWidth="1"/>
    <col min="5" max="5" width="5.77734375" style="5" customWidth="1"/>
    <col min="6" max="6" width="9.88671875" style="5" customWidth="1"/>
    <col min="7" max="7" width="10.77734375" style="5" customWidth="1"/>
    <col min="8" max="8" width="6" style="89" customWidth="1"/>
    <col min="9" max="9" width="11.21875" style="5" customWidth="1"/>
    <col min="10" max="10" width="11" style="5" customWidth="1"/>
    <col min="11" max="11" width="13.77734375" style="5" customWidth="1"/>
    <col min="12" max="12" width="13.6640625" style="5" customWidth="1"/>
    <col min="13" max="13" width="9.109375" style="5"/>
    <col min="14" max="14" width="5.21875" style="5" customWidth="1"/>
    <col min="15" max="15" width="9.109375" style="5"/>
    <col min="16" max="16" width="5.77734375" style="5" customWidth="1"/>
    <col min="17" max="17" width="9.109375" style="5"/>
    <col min="18" max="18" width="6" style="5" customWidth="1"/>
    <col min="19" max="19" width="8.21875" style="5" customWidth="1"/>
    <col min="20" max="20" width="5.21875" style="5" customWidth="1"/>
    <col min="21" max="16384" width="9.109375" style="5"/>
  </cols>
  <sheetData>
    <row r="1" spans="1:19" ht="129" customHeight="1" x14ac:dyDescent="0.25">
      <c r="C1" s="734" t="s">
        <v>449</v>
      </c>
      <c r="D1" s="734"/>
      <c r="E1" s="734"/>
      <c r="F1" s="734"/>
      <c r="G1" s="734"/>
      <c r="H1" s="92"/>
      <c r="I1" s="8"/>
      <c r="J1" s="8"/>
      <c r="K1" s="8"/>
    </row>
    <row r="2" spans="1:19" ht="14.4" x14ac:dyDescent="0.3">
      <c r="A2" s="739" t="s">
        <v>493</v>
      </c>
      <c r="B2" s="740"/>
      <c r="C2" s="740"/>
    </row>
    <row r="3" spans="1:19" ht="13.95" customHeight="1" x14ac:dyDescent="0.3">
      <c r="A3" s="2"/>
      <c r="B3"/>
      <c r="C3"/>
    </row>
    <row r="4" spans="1:19" ht="14.4" x14ac:dyDescent="0.3">
      <c r="A4" s="739" t="s">
        <v>77</v>
      </c>
      <c r="B4" s="740"/>
      <c r="C4" s="740"/>
    </row>
    <row r="5" spans="1:19" ht="16.5" customHeight="1" x14ac:dyDescent="0.3">
      <c r="A5" s="739" t="s">
        <v>78</v>
      </c>
      <c r="B5" s="740"/>
      <c r="C5" s="740"/>
    </row>
    <row r="6" spans="1:19" ht="16.5" customHeight="1" x14ac:dyDescent="0.3">
      <c r="A6" s="739" t="s">
        <v>13</v>
      </c>
      <c r="B6" s="740"/>
      <c r="C6" s="740"/>
    </row>
    <row r="7" spans="1:19" ht="16.5" customHeight="1" x14ac:dyDescent="0.3">
      <c r="A7" s="739" t="s">
        <v>17</v>
      </c>
      <c r="B7" s="740"/>
      <c r="C7" s="740"/>
    </row>
    <row r="8" spans="1:19" ht="16.5" customHeight="1" x14ac:dyDescent="0.3">
      <c r="A8" s="2"/>
      <c r="B8"/>
      <c r="C8"/>
    </row>
    <row r="9" spans="1:19" ht="26.25" customHeight="1" x14ac:dyDescent="0.2">
      <c r="A9" s="735" t="s">
        <v>0</v>
      </c>
      <c r="B9" s="821"/>
      <c r="C9" s="821"/>
      <c r="D9" s="821"/>
      <c r="E9" s="821"/>
      <c r="H9" s="46"/>
      <c r="I9" s="3"/>
      <c r="J9" s="4"/>
      <c r="K9" s="4"/>
      <c r="L9" s="4"/>
      <c r="M9" s="4"/>
      <c r="N9" s="4"/>
      <c r="O9" s="4"/>
      <c r="P9" s="4"/>
      <c r="Q9" s="4"/>
      <c r="R9" s="4"/>
      <c r="S9" s="4"/>
    </row>
    <row r="10" spans="1:19" ht="28.5" customHeight="1" thickBot="1" x14ac:dyDescent="0.25">
      <c r="A10" s="735" t="s">
        <v>178</v>
      </c>
      <c r="B10" s="821"/>
      <c r="C10" s="821"/>
      <c r="D10" s="821"/>
      <c r="E10" s="821"/>
      <c r="H10" s="46"/>
      <c r="I10" s="3"/>
      <c r="J10" s="4"/>
      <c r="K10" s="4"/>
      <c r="L10" s="4"/>
      <c r="M10" s="4"/>
      <c r="N10" s="4"/>
      <c r="O10" s="4"/>
      <c r="P10" s="4"/>
      <c r="Q10" s="4"/>
      <c r="R10" s="4"/>
      <c r="S10" s="4"/>
    </row>
    <row r="11" spans="1:19" ht="17.25" customHeight="1" thickTop="1" thickBot="1" x14ac:dyDescent="0.35">
      <c r="A11" s="53"/>
      <c r="B11" s="53"/>
      <c r="C11" s="53"/>
      <c r="D11" s="822" t="s">
        <v>177</v>
      </c>
      <c r="E11" s="682"/>
      <c r="F11" s="681" t="s">
        <v>175</v>
      </c>
      <c r="G11" s="9"/>
      <c r="H11" s="46"/>
      <c r="I11" s="3"/>
      <c r="J11" s="4"/>
      <c r="K11" s="4"/>
      <c r="L11" s="4"/>
      <c r="M11" s="4"/>
      <c r="N11" s="4"/>
      <c r="O11" s="4"/>
      <c r="P11" s="4"/>
      <c r="Q11" s="4"/>
      <c r="R11" s="4"/>
      <c r="S11" s="4"/>
    </row>
    <row r="12" spans="1:19" ht="21.75" customHeight="1" thickTop="1" thickBot="1" x14ac:dyDescent="0.25">
      <c r="A12" s="53"/>
      <c r="B12" s="53"/>
      <c r="C12" s="53"/>
      <c r="D12" s="823"/>
      <c r="E12" s="573"/>
      <c r="F12" s="681" t="s">
        <v>179</v>
      </c>
      <c r="G12" s="9"/>
      <c r="H12" s="46"/>
      <c r="I12" s="3"/>
      <c r="J12" s="4"/>
      <c r="K12" s="109"/>
      <c r="L12" s="4"/>
      <c r="M12" s="4"/>
      <c r="N12" s="4"/>
      <c r="O12" s="4"/>
      <c r="P12" s="4"/>
      <c r="Q12" s="4"/>
      <c r="R12" s="4"/>
      <c r="S12" s="4"/>
    </row>
    <row r="13" spans="1:19" ht="47.25" customHeight="1" thickTop="1" thickBot="1" x14ac:dyDescent="0.25">
      <c r="A13" s="3"/>
      <c r="B13" s="3"/>
      <c r="C13" s="3"/>
      <c r="F13" s="681" t="s">
        <v>176</v>
      </c>
      <c r="G13" s="681" t="s">
        <v>463</v>
      </c>
      <c r="H13" s="46"/>
      <c r="I13" s="3"/>
      <c r="J13" s="4"/>
      <c r="K13" s="4"/>
      <c r="L13" s="4"/>
      <c r="M13" s="4"/>
      <c r="N13" s="4"/>
      <c r="O13" s="4"/>
      <c r="P13" s="4"/>
      <c r="Q13" s="4"/>
      <c r="R13" s="4"/>
      <c r="S13" s="4"/>
    </row>
    <row r="14" spans="1:19" ht="19.5" customHeight="1" thickTop="1" thickBot="1" x14ac:dyDescent="0.25">
      <c r="A14" s="3"/>
      <c r="B14" s="3"/>
      <c r="C14" s="3"/>
      <c r="F14" s="560"/>
      <c r="G14" s="560"/>
      <c r="H14" s="46"/>
      <c r="I14" s="3"/>
      <c r="J14" s="4"/>
      <c r="K14" s="4"/>
      <c r="L14" s="4"/>
      <c r="M14" s="4"/>
      <c r="N14" s="4"/>
      <c r="O14" s="4"/>
      <c r="P14" s="4"/>
      <c r="Q14" s="4"/>
      <c r="R14" s="4"/>
      <c r="S14" s="4"/>
    </row>
    <row r="15" spans="1:19" ht="19.5" customHeight="1" thickTop="1" x14ac:dyDescent="0.2">
      <c r="A15" s="3"/>
      <c r="B15" s="3"/>
      <c r="C15" s="3"/>
      <c r="F15" s="97"/>
      <c r="G15" s="97"/>
      <c r="H15" s="46"/>
      <c r="I15" s="3"/>
      <c r="J15" s="4"/>
      <c r="K15" s="4"/>
      <c r="L15" s="4"/>
      <c r="M15" s="4"/>
      <c r="N15" s="4"/>
      <c r="O15" s="4"/>
      <c r="P15" s="4"/>
      <c r="Q15" s="4"/>
      <c r="R15" s="4"/>
      <c r="S15" s="4"/>
    </row>
    <row r="16" spans="1:19" ht="19.5" customHeight="1" thickBot="1" x14ac:dyDescent="0.25">
      <c r="A16" s="3"/>
      <c r="B16" s="3"/>
      <c r="C16" s="3"/>
      <c r="F16" s="97"/>
      <c r="G16" s="97"/>
      <c r="H16" s="46"/>
      <c r="I16" s="3"/>
      <c r="J16" s="4"/>
      <c r="K16" s="4"/>
      <c r="L16" s="4"/>
      <c r="M16" s="4"/>
      <c r="N16" s="4"/>
      <c r="O16" s="4"/>
      <c r="P16" s="4"/>
      <c r="Q16" s="4"/>
      <c r="R16" s="4"/>
      <c r="S16" s="4"/>
    </row>
    <row r="17" spans="1:19" ht="28.5" customHeight="1" thickTop="1" thickBot="1" x14ac:dyDescent="0.45">
      <c r="A17" s="741" t="s">
        <v>189</v>
      </c>
      <c r="B17" s="795"/>
      <c r="C17" s="795"/>
      <c r="D17" s="795"/>
      <c r="E17" s="795"/>
      <c r="F17" s="795"/>
      <c r="G17" s="795"/>
      <c r="H17" s="46"/>
      <c r="I17" s="4"/>
      <c r="J17" s="56" t="s">
        <v>182</v>
      </c>
      <c r="K17" s="56" t="s">
        <v>190</v>
      </c>
      <c r="L17" s="4"/>
      <c r="M17" s="4"/>
      <c r="N17" s="4"/>
      <c r="O17" s="4"/>
      <c r="P17" s="4"/>
      <c r="Q17" s="4"/>
      <c r="R17" s="4"/>
      <c r="S17" s="4"/>
    </row>
    <row r="18" spans="1:19" ht="25.5" customHeight="1" thickTop="1" thickBot="1" x14ac:dyDescent="0.25">
      <c r="A18" s="26" t="s">
        <v>1</v>
      </c>
      <c r="B18" s="737" t="s">
        <v>3</v>
      </c>
      <c r="C18" s="737" t="s">
        <v>4</v>
      </c>
      <c r="D18" s="737" t="s">
        <v>5</v>
      </c>
      <c r="E18" s="737" t="s">
        <v>6</v>
      </c>
      <c r="F18" s="26" t="s">
        <v>7</v>
      </c>
      <c r="G18" s="26" t="s">
        <v>9</v>
      </c>
      <c r="H18" s="46"/>
      <c r="I18" s="4"/>
      <c r="J18" s="56" t="s">
        <v>183</v>
      </c>
      <c r="K18" s="56" t="s">
        <v>184</v>
      </c>
      <c r="L18" s="4"/>
      <c r="M18" s="4"/>
      <c r="N18" s="4"/>
      <c r="O18" s="4"/>
      <c r="P18" s="4"/>
      <c r="Q18" s="4"/>
      <c r="R18" s="4"/>
      <c r="S18" s="4"/>
    </row>
    <row r="19" spans="1:19" ht="27.75" customHeight="1" thickTop="1" thickBot="1" x14ac:dyDescent="0.25">
      <c r="A19" s="26" t="s">
        <v>2</v>
      </c>
      <c r="B19" s="737"/>
      <c r="C19" s="737"/>
      <c r="D19" s="737"/>
      <c r="E19" s="737"/>
      <c r="F19" s="26" t="s">
        <v>8</v>
      </c>
      <c r="G19" s="26" t="s">
        <v>8</v>
      </c>
      <c r="H19" s="46"/>
      <c r="I19" s="84" t="s">
        <v>139</v>
      </c>
      <c r="J19" s="56">
        <v>30</v>
      </c>
      <c r="K19" s="56" t="s">
        <v>185</v>
      </c>
      <c r="L19" s="4"/>
      <c r="M19" s="4"/>
      <c r="N19" s="4"/>
      <c r="O19" s="4"/>
      <c r="P19" s="4"/>
      <c r="Q19" s="4"/>
      <c r="R19" s="4"/>
      <c r="S19" s="4"/>
    </row>
    <row r="20" spans="1:19" ht="20.100000000000001" customHeight="1" thickTop="1" thickBot="1" x14ac:dyDescent="0.25">
      <c r="A20" s="771" t="s">
        <v>62</v>
      </c>
      <c r="B20" s="772"/>
      <c r="C20" s="772"/>
      <c r="D20" s="772"/>
      <c r="E20" s="773"/>
      <c r="F20" s="773"/>
      <c r="G20" s="13"/>
      <c r="H20" s="59">
        <f>SUM(H21:H34)</f>
        <v>0</v>
      </c>
      <c r="I20" s="85" t="s">
        <v>140</v>
      </c>
      <c r="J20" s="56">
        <v>40</v>
      </c>
      <c r="K20" s="56" t="s">
        <v>186</v>
      </c>
      <c r="L20" s="4"/>
      <c r="M20" s="4"/>
      <c r="N20" s="4"/>
      <c r="O20" s="4"/>
      <c r="P20" s="4"/>
      <c r="Q20" s="4"/>
      <c r="R20" s="4"/>
      <c r="S20" s="4"/>
    </row>
    <row r="21" spans="1:19" ht="16.05" customHeight="1" thickTop="1" thickBot="1" x14ac:dyDescent="0.25">
      <c r="A21" s="16"/>
      <c r="B21" s="33">
        <v>155001</v>
      </c>
      <c r="C21" s="64" t="s">
        <v>48</v>
      </c>
      <c r="D21" s="19" t="s">
        <v>10</v>
      </c>
      <c r="E21" s="19">
        <f>IF(AND(F14&gt;=0.5, F14&lt;=1, OR(G14=15, G14=20, G14=25)), 1, 0)</f>
        <v>0</v>
      </c>
      <c r="F21" s="632">
        <v>34</v>
      </c>
      <c r="G21" s="20">
        <f t="shared" ref="G21:G36" si="0">E21*F21</f>
        <v>0</v>
      </c>
      <c r="H21" s="46">
        <f t="shared" ref="H21:H36" si="1">E21</f>
        <v>0</v>
      </c>
      <c r="I21" s="85">
        <f>E21*10</f>
        <v>0</v>
      </c>
      <c r="J21" s="56">
        <v>50</v>
      </c>
      <c r="K21" s="56" t="s">
        <v>187</v>
      </c>
      <c r="L21" s="4"/>
      <c r="M21" s="4"/>
      <c r="N21" s="4"/>
      <c r="O21" s="4"/>
      <c r="P21" s="4"/>
      <c r="Q21" s="4"/>
      <c r="R21" s="4"/>
      <c r="S21" s="4"/>
    </row>
    <row r="22" spans="1:19" ht="16.05" customHeight="1" thickTop="1" thickBot="1" x14ac:dyDescent="0.25">
      <c r="A22" s="16"/>
      <c r="B22" s="33">
        <v>155002</v>
      </c>
      <c r="C22" s="64" t="s">
        <v>49</v>
      </c>
      <c r="D22" s="19" t="s">
        <v>10</v>
      </c>
      <c r="E22" s="19">
        <f>IF(OR(AND(F14&gt;=0.5, F14&lt;=1, OR(G14=30, G14=40, G14=50)), AND(F14&gt;=1.1, F14&lt;=2, OR(G14=15, G14=20, G14=25))), 1, 0)</f>
        <v>0</v>
      </c>
      <c r="F22" s="632">
        <v>35</v>
      </c>
      <c r="G22" s="20">
        <f t="shared" si="0"/>
        <v>0</v>
      </c>
      <c r="H22" s="46">
        <f t="shared" si="1"/>
        <v>0</v>
      </c>
      <c r="I22" s="85">
        <f>E22*20</f>
        <v>0</v>
      </c>
      <c r="J22" s="56">
        <v>100</v>
      </c>
      <c r="K22" s="56" t="s">
        <v>188</v>
      </c>
      <c r="L22" s="4"/>
      <c r="M22" s="4"/>
      <c r="N22" s="4"/>
      <c r="O22" s="4"/>
      <c r="P22" s="4"/>
      <c r="Q22" s="4"/>
      <c r="R22" s="4"/>
      <c r="S22" s="4"/>
    </row>
    <row r="23" spans="1:19" ht="16.05" customHeight="1" thickTop="1" thickBot="1" x14ac:dyDescent="0.25">
      <c r="A23" s="16"/>
      <c r="B23" s="33">
        <v>155004</v>
      </c>
      <c r="C23" s="64" t="s">
        <v>50</v>
      </c>
      <c r="D23" s="19" t="s">
        <v>10</v>
      </c>
      <c r="E23" s="19">
        <f>IF(AND(F14&gt;=0.5, F14&lt;=1, G14=100), 1, IF(AND(F14&gt;=1.1, F14&lt;=2, OR(G14=30, G14=40)), 1, IF(AND(F14&gt;=2.1, F14&lt;=4, OR(G14=15, G14=20, G14=25)), 1, 0)))</f>
        <v>0</v>
      </c>
      <c r="F23" s="632">
        <v>37</v>
      </c>
      <c r="G23" s="20">
        <f t="shared" si="0"/>
        <v>0</v>
      </c>
      <c r="H23" s="46">
        <f t="shared" si="1"/>
        <v>0</v>
      </c>
      <c r="I23" s="85">
        <f>E23*40</f>
        <v>0</v>
      </c>
      <c r="J23" s="27"/>
      <c r="K23" s="27"/>
      <c r="L23" s="4"/>
      <c r="M23" s="4"/>
      <c r="N23" s="4"/>
      <c r="O23" s="4"/>
      <c r="P23" s="4"/>
      <c r="Q23" s="4"/>
      <c r="R23" s="4"/>
      <c r="S23" s="4"/>
    </row>
    <row r="24" spans="1:19" ht="16.05" customHeight="1" thickTop="1" thickBot="1" x14ac:dyDescent="0.25">
      <c r="A24" s="16"/>
      <c r="B24" s="33">
        <v>155006</v>
      </c>
      <c r="C24" s="64" t="s">
        <v>51</v>
      </c>
      <c r="D24" s="19" t="s">
        <v>10</v>
      </c>
      <c r="E24" s="19">
        <f>IF(AND(F14&gt;=1.1, F14&lt;=2, G14=50), 1, IF(AND(F14&gt;=2.1, F14&lt;=3, OR(G14=30, G14=40)), 1, IF(AND(F14&gt;=4.1, F14&lt;=6, OR(G14=15, G14=20, G14=25)), 1, 0)))</f>
        <v>0</v>
      </c>
      <c r="F24" s="632">
        <v>41</v>
      </c>
      <c r="G24" s="20">
        <f t="shared" si="0"/>
        <v>0</v>
      </c>
      <c r="H24" s="46">
        <f t="shared" si="1"/>
        <v>0</v>
      </c>
      <c r="I24" s="85">
        <f>E24*60</f>
        <v>0</v>
      </c>
      <c r="J24" s="27"/>
      <c r="K24" s="27"/>
      <c r="L24" s="4"/>
      <c r="M24" s="4"/>
      <c r="N24" s="4"/>
      <c r="O24" s="4"/>
      <c r="P24" s="4"/>
      <c r="Q24" s="4"/>
      <c r="R24" s="4"/>
      <c r="S24" s="4"/>
    </row>
    <row r="25" spans="1:19" ht="16.05" customHeight="1" thickTop="1" thickBot="1" x14ac:dyDescent="0.25">
      <c r="A25" s="16"/>
      <c r="B25" s="33">
        <v>155008</v>
      </c>
      <c r="C25" s="64" t="s">
        <v>52</v>
      </c>
      <c r="D25" s="19" t="s">
        <v>10</v>
      </c>
      <c r="E25" s="19">
        <f>IF(AND(F14&gt;=1.1, F14&lt;=2, G14=100), 1, IF(AND(F14&gt;=2.1, F14&lt;=3, G14=50), 1, IF(AND(F14&gt;=3.1, F14&lt;=4, OR(G14=30, G14=40)), 1, IF(AND(F14&gt;=6.1, F14&lt;=8, OR(G14=15, G14=20, G14=25)), 1, 0))))</f>
        <v>0</v>
      </c>
      <c r="F25" s="632">
        <v>45</v>
      </c>
      <c r="G25" s="20">
        <f t="shared" si="0"/>
        <v>0</v>
      </c>
      <c r="H25" s="46">
        <f t="shared" si="1"/>
        <v>0</v>
      </c>
      <c r="I25" s="85">
        <f>E25*80</f>
        <v>0</v>
      </c>
      <c r="J25" s="4"/>
      <c r="K25" s="4"/>
      <c r="L25" s="4"/>
      <c r="M25" s="4"/>
      <c r="N25" s="4"/>
      <c r="O25" s="4"/>
      <c r="P25" s="4"/>
      <c r="Q25" s="4"/>
      <c r="R25" s="4"/>
      <c r="S25" s="4"/>
    </row>
    <row r="26" spans="1:19" ht="16.05" customHeight="1" thickTop="1" thickBot="1" x14ac:dyDescent="0.25">
      <c r="A26" s="16"/>
      <c r="B26" s="33">
        <v>155010</v>
      </c>
      <c r="C26" s="64" t="s">
        <v>53</v>
      </c>
      <c r="D26" s="19" t="s">
        <v>10</v>
      </c>
      <c r="E26" s="19">
        <f>IF(AND(F14&gt;=2.1, F14&lt;=3, G14=100), 1, IF(AND(F14&gt;=3.1, F14&lt;=4, G14=50), 1, IF(AND(F14&gt;=4.1, F14&lt;=5, OR(G14=30, G14=40)), 1, IF(AND(F14&gt;=8.1, F14&lt;=10, OR(G14=15, G14=20, G14=25)), 1, 0))))</f>
        <v>0</v>
      </c>
      <c r="F26" s="632">
        <v>48</v>
      </c>
      <c r="G26" s="20">
        <f t="shared" si="0"/>
        <v>0</v>
      </c>
      <c r="H26" s="46">
        <f t="shared" si="1"/>
        <v>0</v>
      </c>
      <c r="I26" s="85">
        <f>E26*100</f>
        <v>0</v>
      </c>
      <c r="J26" s="4"/>
      <c r="K26" s="7"/>
      <c r="L26" s="4"/>
      <c r="M26" s="4"/>
      <c r="N26" s="4"/>
      <c r="O26" s="4"/>
      <c r="P26" s="4"/>
      <c r="Q26" s="4"/>
      <c r="R26" s="4"/>
      <c r="S26" s="4"/>
    </row>
    <row r="27" spans="1:19" ht="16.05" customHeight="1" thickTop="1" thickBot="1" x14ac:dyDescent="0.25">
      <c r="A27" s="16"/>
      <c r="B27" s="33">
        <v>155014</v>
      </c>
      <c r="C27" s="64" t="s">
        <v>54</v>
      </c>
      <c r="D27" s="19" t="s">
        <v>10</v>
      </c>
      <c r="E27" s="19">
        <f>IF(AND(F14&gt;=3.1, F14&lt;=4, G14=100), 1, IF(AND(F14&gt;=4.1, F14&lt;=5, G14=50), 1, IF(AND(F14&gt;=5.1, F14&lt;=6, OR(G14=30, G14=40)), 1, IF(AND(F14&gt;=6.1, F14&lt;=8, G14=30), 1, IF(AND(F14&gt;=10.1, F14&lt;=14, OR(G14=15, G14=20, G14=25)), 1, 0)))))</f>
        <v>0</v>
      </c>
      <c r="F27" s="632">
        <v>54</v>
      </c>
      <c r="G27" s="20">
        <f t="shared" si="0"/>
        <v>0</v>
      </c>
      <c r="H27" s="46">
        <f t="shared" si="1"/>
        <v>0</v>
      </c>
      <c r="I27" s="85">
        <f>E27*140</f>
        <v>0</v>
      </c>
      <c r="J27" s="4"/>
      <c r="K27" s="4"/>
      <c r="L27" s="4"/>
      <c r="M27" s="4"/>
      <c r="N27" s="4"/>
      <c r="O27" s="4"/>
      <c r="P27" s="4"/>
      <c r="Q27" s="4"/>
      <c r="R27" s="4"/>
      <c r="S27" s="4"/>
    </row>
    <row r="28" spans="1:19" ht="16.05" customHeight="1" thickTop="1" thickBot="1" x14ac:dyDescent="0.25">
      <c r="A28" s="16"/>
      <c r="B28" s="33">
        <v>155018</v>
      </c>
      <c r="C28" s="64" t="s">
        <v>55</v>
      </c>
      <c r="D28" s="19" t="s">
        <v>10</v>
      </c>
      <c r="E28" s="19">
        <f>IF(OR(AND(F14&gt;=5.1, F14&lt;=7, G14=50), AND(F14&gt;=6.1, F14&lt;=8, G14=40), AND(F14&gt;=8.1, F14&lt;=10, G14=30), AND(F14&gt;=14.1, F14&lt;=18, OR(G14=15, G14=20, G14=25))), 1, 0)</f>
        <v>0</v>
      </c>
      <c r="F28" s="632">
        <v>63</v>
      </c>
      <c r="G28" s="20">
        <f t="shared" si="0"/>
        <v>0</v>
      </c>
      <c r="H28" s="46">
        <f t="shared" si="1"/>
        <v>0</v>
      </c>
      <c r="I28" s="85">
        <f>E28*180</f>
        <v>0</v>
      </c>
      <c r="J28" s="4"/>
      <c r="K28" s="4"/>
      <c r="L28" s="4"/>
      <c r="M28" s="4"/>
      <c r="N28" s="4"/>
      <c r="O28" s="4"/>
      <c r="P28" s="4"/>
      <c r="Q28" s="4"/>
      <c r="R28" s="4"/>
      <c r="S28" s="4"/>
    </row>
    <row r="29" spans="1:19" ht="16.05" customHeight="1" thickTop="1" thickBot="1" x14ac:dyDescent="0.25">
      <c r="A29" s="16"/>
      <c r="B29" s="33">
        <v>155022</v>
      </c>
      <c r="C29" s="64" t="s">
        <v>56</v>
      </c>
      <c r="D29" s="19" t="s">
        <v>10</v>
      </c>
      <c r="E29" s="19">
        <f>IF(OR(AND(F14&gt;=4.1, F14&lt;=5, G14=100), AND(F14&gt;=7.1, F14&lt;=9, G14=50), AND(F14&gt;=8.1, F14&lt;=10, G14=40), AND(F14&gt;=10.1, F14&lt;=12, G14=30), AND(F14&gt;=18.1, F14&lt;=22, OR(G14=15, G14=20, G14=25))), 1, 0)</f>
        <v>0</v>
      </c>
      <c r="F29" s="632">
        <v>70</v>
      </c>
      <c r="G29" s="20">
        <f t="shared" si="0"/>
        <v>0</v>
      </c>
      <c r="H29" s="46">
        <f t="shared" si="1"/>
        <v>0</v>
      </c>
      <c r="I29" s="85">
        <f>E29*220</f>
        <v>0</v>
      </c>
      <c r="J29" s="4"/>
      <c r="K29" s="4"/>
      <c r="L29" s="4"/>
      <c r="M29" s="4"/>
      <c r="N29" s="4"/>
      <c r="O29" s="4"/>
      <c r="P29" s="4"/>
      <c r="Q29" s="4"/>
      <c r="R29" s="4"/>
      <c r="S29" s="4"/>
    </row>
    <row r="30" spans="1:19" ht="16.05" customHeight="1" thickTop="1" thickBot="1" x14ac:dyDescent="0.25">
      <c r="A30" s="16"/>
      <c r="B30" s="33">
        <v>155026</v>
      </c>
      <c r="C30" s="64" t="s">
        <v>57</v>
      </c>
      <c r="D30" s="19" t="s">
        <v>10</v>
      </c>
      <c r="E30" s="19">
        <f>IF(OR(AND(F14&gt;=5.1, F14&lt;=6, G14=100), AND(F14&gt;=9.1, F14&lt;=11, G14=50), AND(F14&gt;=10.1, F14&lt;=11, G14=40), AND(F14&gt;=12.1, F14&lt;=13, G14=30), AND(F14&gt;=22.1, F14&lt;=26, OR(G14=15, G14=20, G14=25))), 1, 0)</f>
        <v>0</v>
      </c>
      <c r="F30" s="632">
        <v>78</v>
      </c>
      <c r="G30" s="20">
        <f t="shared" si="0"/>
        <v>0</v>
      </c>
      <c r="H30" s="46">
        <f t="shared" si="1"/>
        <v>0</v>
      </c>
      <c r="I30" s="85">
        <f>E30*260</f>
        <v>0</v>
      </c>
      <c r="J30" s="4"/>
      <c r="K30" s="4"/>
      <c r="L30" s="4"/>
      <c r="M30" s="4"/>
      <c r="N30" s="4"/>
      <c r="O30" s="4"/>
      <c r="P30" s="4"/>
      <c r="Q30" s="4"/>
      <c r="R30" s="4"/>
      <c r="S30" s="4"/>
    </row>
    <row r="31" spans="1:19" ht="16.05" customHeight="1" thickTop="1" thickBot="1" x14ac:dyDescent="0.25">
      <c r="A31" s="16"/>
      <c r="B31" s="33">
        <v>155030</v>
      </c>
      <c r="C31" s="64" t="s">
        <v>58</v>
      </c>
      <c r="D31" s="19" t="s">
        <v>10</v>
      </c>
      <c r="E31" s="19">
        <f>IF(OR(AND(F14&gt;=6.1, F14&lt;=7, G14=100), AND(F14&gt;=11.1, F14&lt;=12, G14=50), AND(F14&gt;=11.1, F14&lt;=14, G14=40), AND(F14&gt;=13.1, F14&lt;=16, G14=30), AND(F14&gt;=26.1, F14&lt;=30, OR(G14=15, G14=20, G14=25))), 1, 0)</f>
        <v>0</v>
      </c>
      <c r="F31" s="632">
        <v>90</v>
      </c>
      <c r="G31" s="20">
        <f t="shared" si="0"/>
        <v>0</v>
      </c>
      <c r="H31" s="46">
        <f t="shared" si="1"/>
        <v>0</v>
      </c>
      <c r="I31" s="85">
        <f>E31*300</f>
        <v>0</v>
      </c>
      <c r="J31" s="4"/>
      <c r="K31" s="4"/>
      <c r="L31" s="4"/>
      <c r="M31" s="4"/>
      <c r="N31" s="4"/>
      <c r="O31" s="4"/>
      <c r="P31" s="4"/>
      <c r="Q31" s="4"/>
      <c r="R31" s="4"/>
      <c r="S31" s="4"/>
    </row>
    <row r="32" spans="1:19" ht="16.05" customHeight="1" thickTop="1" thickBot="1" x14ac:dyDescent="0.25">
      <c r="A32" s="16"/>
      <c r="B32" s="33">
        <v>155034</v>
      </c>
      <c r="C32" s="64" t="s">
        <v>59</v>
      </c>
      <c r="D32" s="19" t="s">
        <v>10</v>
      </c>
      <c r="E32" s="19">
        <f>IF(OR(AND(F14&gt;=7.1, F14&lt;=8, G14=100), AND(F14&gt;=12.1, F14&lt;=13, G14=50), AND(F14&gt;=14.1, F14&lt;=16, G14=40), AND(F14&gt;=16.1, F14&lt;=19.2, G14=30), AND(F14&gt;=30.1, F14&lt;=34, OR(G14=15, G14=20, G14=25))), 1, 0)</f>
        <v>0</v>
      </c>
      <c r="F32" s="632">
        <v>96</v>
      </c>
      <c r="G32" s="20">
        <f t="shared" si="0"/>
        <v>0</v>
      </c>
      <c r="H32" s="46">
        <f t="shared" si="1"/>
        <v>0</v>
      </c>
      <c r="I32" s="85">
        <f>E32*340</f>
        <v>0</v>
      </c>
      <c r="J32" s="4"/>
      <c r="K32" s="4"/>
      <c r="L32" s="4"/>
      <c r="M32" s="4"/>
      <c r="N32" s="4"/>
      <c r="O32" s="4"/>
      <c r="P32" s="4"/>
      <c r="Q32" s="4"/>
      <c r="R32" s="4"/>
      <c r="S32" s="4"/>
    </row>
    <row r="33" spans="1:19" ht="16.05" customHeight="1" thickTop="1" thickBot="1" x14ac:dyDescent="0.25">
      <c r="A33" s="16"/>
      <c r="B33" s="33">
        <v>155040</v>
      </c>
      <c r="C33" s="64" t="s">
        <v>60</v>
      </c>
      <c r="D33" s="19" t="s">
        <v>10</v>
      </c>
      <c r="E33" s="19">
        <f>IF(OR(AND(F14&gt;=8.1, F14&lt;=10, G14=100), AND(F14&gt;=13.1, F14&lt;=14, G14=50), AND(F14&gt;=16.1, F14&lt;=19.2, G14=40), AND(F14&gt;=34.1, F14&lt;=40, OR(G14=15, G14=20, G14=25))), 1, 0)</f>
        <v>0</v>
      </c>
      <c r="F33" s="632">
        <v>106</v>
      </c>
      <c r="G33" s="20">
        <f t="shared" si="0"/>
        <v>0</v>
      </c>
      <c r="H33" s="46">
        <f t="shared" si="1"/>
        <v>0</v>
      </c>
      <c r="I33" s="85">
        <f>E33*400</f>
        <v>0</v>
      </c>
      <c r="J33" s="4"/>
      <c r="K33" s="4"/>
      <c r="L33" s="4"/>
      <c r="M33" s="4"/>
      <c r="N33" s="4"/>
      <c r="O33" s="4"/>
      <c r="P33" s="4"/>
      <c r="Q33" s="4"/>
      <c r="R33" s="4"/>
      <c r="S33" s="4"/>
    </row>
    <row r="34" spans="1:19" ht="16.05" customHeight="1" thickTop="1" thickBot="1" x14ac:dyDescent="0.25">
      <c r="A34" s="34"/>
      <c r="B34" s="35">
        <v>155048</v>
      </c>
      <c r="C34" s="91" t="s">
        <v>61</v>
      </c>
      <c r="D34" s="36" t="s">
        <v>10</v>
      </c>
      <c r="E34" s="36">
        <f>IF(OR(AND(F14&gt;=10.1, F14&lt;=13, G14=100), AND(F14&gt;=14.1, F14&lt;=19.2, G14=50), AND(F14&gt;=19.3, F14&lt;=22, G14=40), AND(F14&gt;=19.3, F14&lt;=24, G14=30), AND(F14&gt;=40.1, F14&lt;=48, OR(G14=15, G14=20, G14=25))), 1, 0)</f>
        <v>0</v>
      </c>
      <c r="F34" s="632">
        <v>119</v>
      </c>
      <c r="G34" s="37">
        <f t="shared" si="0"/>
        <v>0</v>
      </c>
      <c r="H34" s="46">
        <f t="shared" si="1"/>
        <v>0</v>
      </c>
      <c r="I34" s="85">
        <f>E34*480</f>
        <v>0</v>
      </c>
      <c r="J34" s="4"/>
      <c r="K34" s="4"/>
      <c r="L34" s="4"/>
      <c r="M34" s="4"/>
      <c r="N34" s="4"/>
      <c r="O34" s="4"/>
      <c r="P34" s="4"/>
      <c r="Q34" s="4"/>
      <c r="R34" s="4"/>
      <c r="S34" s="4"/>
    </row>
    <row r="35" spans="1:19" ht="20.100000000000001" customHeight="1" thickTop="1" thickBot="1" x14ac:dyDescent="0.25">
      <c r="A35" s="553" t="s">
        <v>68</v>
      </c>
      <c r="B35" s="554"/>
      <c r="C35" s="554"/>
      <c r="D35" s="554"/>
      <c r="E35" s="478"/>
      <c r="F35" s="478"/>
      <c r="G35" s="43"/>
      <c r="H35" s="59">
        <f>SUM(H36:H36)</f>
        <v>0</v>
      </c>
      <c r="I35" s="4"/>
      <c r="J35" s="4"/>
      <c r="K35" s="4"/>
      <c r="L35" s="4"/>
      <c r="M35" s="4"/>
      <c r="N35" s="4"/>
      <c r="O35" s="4"/>
      <c r="P35" s="4"/>
      <c r="Q35" s="4" t="s">
        <v>69</v>
      </c>
      <c r="R35" s="4"/>
      <c r="S35" s="4"/>
    </row>
    <row r="36" spans="1:19" ht="16.05" customHeight="1" thickTop="1" thickBot="1" x14ac:dyDescent="0.25">
      <c r="A36" s="38"/>
      <c r="B36" s="39">
        <v>720200</v>
      </c>
      <c r="C36" s="96" t="s">
        <v>66</v>
      </c>
      <c r="D36" s="40" t="s">
        <v>67</v>
      </c>
      <c r="E36" s="41">
        <f>IF(AND(E11="X", E12=""), ROUNDUP((G14/1000*3.14*F14/0.045+I35)/22.5,0), IF(AND(E12="X", E11=""), ROUNDUP(I35/22.5,0), 0))</f>
        <v>0</v>
      </c>
      <c r="F36" s="633">
        <v>5</v>
      </c>
      <c r="G36" s="42">
        <f t="shared" si="0"/>
        <v>0</v>
      </c>
      <c r="H36" s="46">
        <f t="shared" si="1"/>
        <v>0</v>
      </c>
      <c r="I36" s="546"/>
      <c r="J36" s="4"/>
      <c r="L36" s="4"/>
      <c r="R36" s="4"/>
      <c r="S36" s="4"/>
    </row>
    <row r="37" spans="1:19" ht="18" customHeight="1" thickTop="1" thickBot="1" x14ac:dyDescent="0.25">
      <c r="A37" s="805" t="s">
        <v>18</v>
      </c>
      <c r="B37" s="824"/>
      <c r="C37" s="824"/>
      <c r="D37" s="806"/>
      <c r="E37" s="806"/>
      <c r="F37" s="806"/>
      <c r="G37" s="28">
        <f>SUM(G21:G36)</f>
        <v>0</v>
      </c>
    </row>
    <row r="38" spans="1:19" ht="18" customHeight="1" thickTop="1" thickBot="1" x14ac:dyDescent="0.25">
      <c r="A38" s="47">
        <v>0</v>
      </c>
      <c r="B38" s="744" t="s">
        <v>70</v>
      </c>
      <c r="C38" s="807"/>
      <c r="D38" s="807"/>
      <c r="E38" s="807"/>
      <c r="F38" s="807"/>
      <c r="G38" s="77">
        <f>G37*(1-A38)</f>
        <v>0</v>
      </c>
    </row>
    <row r="39" spans="1:19" ht="18" customHeight="1" thickTop="1" thickBot="1" x14ac:dyDescent="0.25">
      <c r="A39" s="44" t="s">
        <v>19</v>
      </c>
      <c r="B39" s="45"/>
      <c r="C39" s="45"/>
      <c r="D39" s="45"/>
      <c r="E39" s="45"/>
      <c r="F39" s="45"/>
      <c r="G39" s="77">
        <f>G38*1.21</f>
        <v>0</v>
      </c>
    </row>
    <row r="40" spans="1:19" ht="16.05" customHeight="1" thickTop="1" x14ac:dyDescent="0.2"/>
    <row r="41" spans="1:19" ht="16.05" customHeight="1" x14ac:dyDescent="0.2">
      <c r="A41" s="732" t="s">
        <v>20</v>
      </c>
      <c r="B41" s="763"/>
      <c r="C41" s="763"/>
      <c r="D41" s="763"/>
      <c r="E41" s="763"/>
      <c r="F41" s="763"/>
      <c r="G41" s="763"/>
    </row>
    <row r="42" spans="1:19" ht="35.25" customHeight="1" x14ac:dyDescent="0.3">
      <c r="A42" s="733" t="s">
        <v>141</v>
      </c>
      <c r="B42" s="748"/>
      <c r="C42" s="748"/>
      <c r="D42" s="748"/>
      <c r="E42" s="748"/>
      <c r="F42" s="748"/>
      <c r="G42" s="748"/>
    </row>
    <row r="43" spans="1:19" ht="23.25" customHeight="1" x14ac:dyDescent="0.3">
      <c r="A43" s="733" t="s">
        <v>462</v>
      </c>
      <c r="B43" s="748"/>
      <c r="C43" s="748"/>
      <c r="D43" s="567">
        <f>SUM(I21:I34)/1000</f>
        <v>0</v>
      </c>
      <c r="E43" s="67"/>
      <c r="F43" s="67"/>
      <c r="G43" s="67"/>
    </row>
    <row r="44" spans="1:19" ht="16.05" customHeight="1" x14ac:dyDescent="0.2"/>
    <row r="45" spans="1:19" ht="16.05" customHeight="1" x14ac:dyDescent="0.2">
      <c r="A45" s="739" t="s">
        <v>21</v>
      </c>
      <c r="B45" s="750"/>
      <c r="C45" s="750"/>
      <c r="D45" s="750"/>
      <c r="E45" s="750"/>
      <c r="F45" s="750"/>
      <c r="G45" s="750"/>
    </row>
    <row r="46" spans="1:19" ht="16.05" customHeight="1" x14ac:dyDescent="0.2">
      <c r="A46" s="732" t="s">
        <v>142</v>
      </c>
      <c r="B46" s="763"/>
      <c r="C46" s="763"/>
      <c r="D46" s="763"/>
      <c r="E46" s="763"/>
      <c r="F46" s="763"/>
      <c r="G46" s="763"/>
    </row>
    <row r="47" spans="1:19" ht="16.05" customHeight="1" x14ac:dyDescent="0.3">
      <c r="A47" s="732" t="s">
        <v>22</v>
      </c>
      <c r="B47" s="740"/>
      <c r="C47" s="740"/>
      <c r="D47" s="740"/>
      <c r="E47" s="740"/>
      <c r="F47" s="740"/>
      <c r="G47" s="740"/>
    </row>
    <row r="48" spans="1:19" ht="16.05" customHeight="1" x14ac:dyDescent="0.2">
      <c r="A48" s="732" t="s">
        <v>23</v>
      </c>
      <c r="B48" s="763"/>
      <c r="C48" s="763"/>
      <c r="D48" s="763"/>
      <c r="E48" s="763"/>
      <c r="F48" s="763"/>
      <c r="G48" s="763"/>
    </row>
    <row r="49" spans="1:21" ht="16.05" customHeight="1" x14ac:dyDescent="0.3">
      <c r="A49" s="732"/>
      <c r="B49" s="740"/>
      <c r="C49" s="740"/>
      <c r="D49" s="740"/>
      <c r="E49" s="740"/>
      <c r="F49" s="740"/>
      <c r="G49" s="740"/>
    </row>
    <row r="50" spans="1:21" ht="16.05" customHeight="1" x14ac:dyDescent="0.3">
      <c r="A50" s="66"/>
      <c r="B50"/>
      <c r="C50"/>
      <c r="D50"/>
      <c r="E50"/>
      <c r="F50"/>
      <c r="G50"/>
    </row>
    <row r="51" spans="1:21" ht="16.05" customHeight="1" x14ac:dyDescent="0.3">
      <c r="B51" s="1" t="s">
        <v>11</v>
      </c>
      <c r="C51" s="2"/>
      <c r="D51"/>
      <c r="E51"/>
      <c r="F51"/>
      <c r="G51"/>
    </row>
    <row r="52" spans="1:21" ht="16.05" customHeight="1" x14ac:dyDescent="0.3">
      <c r="B52" s="749"/>
      <c r="C52" s="750"/>
      <c r="D52"/>
      <c r="E52"/>
      <c r="F52"/>
      <c r="G52"/>
    </row>
    <row r="53" spans="1:21" ht="16.05" customHeight="1" x14ac:dyDescent="0.3">
      <c r="B53" s="749"/>
      <c r="C53" s="750"/>
      <c r="D53"/>
      <c r="E53"/>
      <c r="F53"/>
      <c r="G53"/>
    </row>
    <row r="54" spans="1:21" ht="16.05" customHeight="1" x14ac:dyDescent="0.3">
      <c r="B54" s="76"/>
      <c r="D54"/>
      <c r="E54"/>
      <c r="F54"/>
      <c r="G54"/>
      <c r="I54" s="587"/>
      <c r="J54" s="587"/>
      <c r="K54" s="587"/>
      <c r="L54" s="587"/>
      <c r="M54" s="587"/>
      <c r="N54" s="587"/>
      <c r="O54" s="587"/>
      <c r="P54" s="587"/>
      <c r="Q54" s="587"/>
      <c r="R54" s="587"/>
      <c r="S54" s="587"/>
      <c r="T54" s="587"/>
      <c r="U54" s="587"/>
    </row>
    <row r="55" spans="1:21" ht="16.05" customHeight="1" x14ac:dyDescent="0.3">
      <c r="B55" s="76" t="s">
        <v>12</v>
      </c>
      <c r="D55"/>
      <c r="E55"/>
      <c r="F55"/>
      <c r="G55"/>
      <c r="I55" s="587"/>
      <c r="J55" s="587"/>
      <c r="K55" s="587"/>
      <c r="L55" s="587"/>
      <c r="M55" s="587"/>
      <c r="N55" s="587"/>
      <c r="O55" s="587"/>
      <c r="P55" s="587"/>
      <c r="Q55" s="587"/>
      <c r="R55" s="587"/>
      <c r="S55" s="587"/>
      <c r="T55" s="587"/>
      <c r="U55" s="587"/>
    </row>
    <row r="56" spans="1:21" ht="12.75" customHeight="1" x14ac:dyDescent="0.2">
      <c r="A56" s="2"/>
      <c r="B56" s="49"/>
      <c r="C56" s="49"/>
      <c r="D56" s="49"/>
      <c r="E56" s="49"/>
      <c r="F56" s="49"/>
      <c r="G56" s="52"/>
      <c r="I56" s="587"/>
      <c r="J56" s="816" t="s">
        <v>166</v>
      </c>
      <c r="K56" s="817"/>
      <c r="L56" s="817"/>
      <c r="M56" s="817"/>
      <c r="N56" s="817"/>
      <c r="O56" s="817"/>
      <c r="P56" s="817"/>
      <c r="Q56" s="817"/>
      <c r="R56" s="817"/>
      <c r="S56" s="817"/>
      <c r="T56" s="587"/>
      <c r="U56" s="587"/>
    </row>
    <row r="57" spans="1:21" ht="19.5" customHeight="1" x14ac:dyDescent="0.2">
      <c r="I57" s="587"/>
      <c r="J57" s="584" t="s">
        <v>167</v>
      </c>
      <c r="K57" s="584" t="s">
        <v>168</v>
      </c>
      <c r="L57" s="584" t="s">
        <v>169</v>
      </c>
      <c r="M57" s="584" t="s">
        <v>170</v>
      </c>
      <c r="N57" s="584"/>
      <c r="O57" s="584" t="s">
        <v>171</v>
      </c>
      <c r="P57" s="584"/>
      <c r="Q57" s="584" t="s">
        <v>172</v>
      </c>
      <c r="R57" s="584"/>
      <c r="S57" s="584" t="s">
        <v>173</v>
      </c>
      <c r="T57" s="587"/>
      <c r="U57" s="587"/>
    </row>
    <row r="58" spans="1:21" ht="40.5" customHeight="1" x14ac:dyDescent="0.4">
      <c r="A58" s="742"/>
      <c r="B58" s="803"/>
      <c r="C58" s="803"/>
      <c r="D58" s="803"/>
      <c r="E58" s="803"/>
      <c r="F58" s="803"/>
      <c r="G58" s="804"/>
      <c r="I58" s="586" t="s">
        <v>174</v>
      </c>
      <c r="J58" s="586" t="s">
        <v>180</v>
      </c>
      <c r="K58" s="586" t="s">
        <v>180</v>
      </c>
      <c r="L58" s="586" t="s">
        <v>180</v>
      </c>
      <c r="M58" s="586" t="s">
        <v>180</v>
      </c>
      <c r="N58" s="586"/>
      <c r="O58" s="586" t="s">
        <v>181</v>
      </c>
      <c r="P58" s="586"/>
      <c r="Q58" s="586" t="s">
        <v>181</v>
      </c>
      <c r="R58" s="586"/>
      <c r="S58" s="586" t="s">
        <v>180</v>
      </c>
      <c r="T58" s="587"/>
      <c r="U58" s="587"/>
    </row>
    <row r="59" spans="1:21" ht="21" x14ac:dyDescent="0.4">
      <c r="A59" s="588"/>
      <c r="B59" s="594"/>
      <c r="C59" s="594"/>
      <c r="D59" s="594"/>
      <c r="E59" s="594"/>
      <c r="F59" s="594"/>
      <c r="G59" s="595"/>
      <c r="I59" s="586">
        <v>0.5</v>
      </c>
      <c r="J59" s="586">
        <v>10</v>
      </c>
      <c r="K59" s="586">
        <v>10</v>
      </c>
      <c r="L59" s="586">
        <v>10</v>
      </c>
      <c r="M59" s="586">
        <v>20</v>
      </c>
      <c r="N59" s="586">
        <f>I59*10*2</f>
        <v>10</v>
      </c>
      <c r="O59" s="586">
        <v>20</v>
      </c>
      <c r="P59" s="586">
        <f>I59*10*2.25</f>
        <v>11.25</v>
      </c>
      <c r="Q59" s="586">
        <v>20</v>
      </c>
      <c r="R59" s="586">
        <f>I59*10*2.5</f>
        <v>12.5</v>
      </c>
      <c r="S59" s="586">
        <v>40</v>
      </c>
      <c r="T59" s="584">
        <f>I59*10*4</f>
        <v>20</v>
      </c>
      <c r="U59" s="587"/>
    </row>
    <row r="60" spans="1:21" ht="21" x14ac:dyDescent="0.4">
      <c r="A60" s="588"/>
      <c r="B60" s="594"/>
      <c r="C60" s="594"/>
      <c r="D60" s="594"/>
      <c r="E60" s="594"/>
      <c r="F60" s="594"/>
      <c r="G60" s="595"/>
      <c r="I60" s="586">
        <v>1</v>
      </c>
      <c r="J60" s="586">
        <v>10</v>
      </c>
      <c r="K60" s="586">
        <v>10</v>
      </c>
      <c r="L60" s="586">
        <v>10</v>
      </c>
      <c r="M60" s="586">
        <v>20</v>
      </c>
      <c r="N60" s="586">
        <f t="shared" ref="N60:N78" si="2">I60*10*2</f>
        <v>20</v>
      </c>
      <c r="O60" s="586">
        <v>20</v>
      </c>
      <c r="P60" s="586">
        <f t="shared" ref="P60:P85" si="3">I60*10*2.25</f>
        <v>22.5</v>
      </c>
      <c r="Q60" s="586">
        <v>20</v>
      </c>
      <c r="R60" s="586">
        <f t="shared" ref="R60:R85" si="4">I60*10*2.5</f>
        <v>25</v>
      </c>
      <c r="S60" s="586">
        <v>40</v>
      </c>
      <c r="T60" s="584">
        <f t="shared" ref="T60:T84" si="5">I60*10*4</f>
        <v>40</v>
      </c>
      <c r="U60" s="587"/>
    </row>
    <row r="61" spans="1:21" ht="25.5" customHeight="1" x14ac:dyDescent="0.2">
      <c r="A61" s="752"/>
      <c r="B61" s="799"/>
      <c r="C61" s="799"/>
      <c r="D61" s="799"/>
      <c r="E61" s="799"/>
      <c r="F61" s="799"/>
      <c r="G61" s="800"/>
      <c r="I61" s="586">
        <v>1.1000000000000001</v>
      </c>
      <c r="J61" s="586">
        <v>20</v>
      </c>
      <c r="K61" s="586">
        <v>20</v>
      </c>
      <c r="L61" s="586">
        <v>20</v>
      </c>
      <c r="M61" s="586">
        <v>40</v>
      </c>
      <c r="N61" s="586">
        <f t="shared" si="2"/>
        <v>22</v>
      </c>
      <c r="O61" s="586">
        <v>40</v>
      </c>
      <c r="P61" s="586">
        <f t="shared" si="3"/>
        <v>24.75</v>
      </c>
      <c r="Q61" s="586">
        <v>60</v>
      </c>
      <c r="R61" s="586">
        <f t="shared" si="4"/>
        <v>27.5</v>
      </c>
      <c r="S61" s="586">
        <v>80</v>
      </c>
      <c r="T61" s="584">
        <f t="shared" si="5"/>
        <v>44</v>
      </c>
      <c r="U61" s="587"/>
    </row>
    <row r="62" spans="1:21" ht="34.5" customHeight="1" x14ac:dyDescent="0.2">
      <c r="A62" s="752"/>
      <c r="B62" s="801"/>
      <c r="C62" s="801"/>
      <c r="D62" s="801"/>
      <c r="E62" s="801"/>
      <c r="F62" s="801"/>
      <c r="G62" s="801"/>
      <c r="I62" s="586">
        <v>2</v>
      </c>
      <c r="J62" s="586">
        <v>20</v>
      </c>
      <c r="K62" s="586">
        <v>20</v>
      </c>
      <c r="L62" s="586">
        <v>20</v>
      </c>
      <c r="M62" s="586">
        <v>40</v>
      </c>
      <c r="N62" s="586">
        <f t="shared" si="2"/>
        <v>40</v>
      </c>
      <c r="O62" s="586">
        <v>40</v>
      </c>
      <c r="P62" s="586">
        <f t="shared" si="3"/>
        <v>45</v>
      </c>
      <c r="Q62" s="586">
        <v>60</v>
      </c>
      <c r="R62" s="586">
        <f t="shared" si="4"/>
        <v>50</v>
      </c>
      <c r="S62" s="586">
        <v>80</v>
      </c>
      <c r="T62" s="584">
        <f t="shared" si="5"/>
        <v>80</v>
      </c>
      <c r="U62" s="587"/>
    </row>
    <row r="63" spans="1:21" ht="13.8" x14ac:dyDescent="0.2">
      <c r="A63" s="752"/>
      <c r="B63" s="801"/>
      <c r="C63" s="801"/>
      <c r="D63" s="801"/>
      <c r="E63" s="801"/>
      <c r="F63" s="801"/>
      <c r="G63" s="801"/>
      <c r="I63" s="586">
        <v>2.1</v>
      </c>
      <c r="J63" s="586">
        <v>40</v>
      </c>
      <c r="K63" s="586">
        <v>40</v>
      </c>
      <c r="L63" s="586">
        <v>40</v>
      </c>
      <c r="M63" s="586">
        <v>60</v>
      </c>
      <c r="N63" s="586">
        <f t="shared" si="2"/>
        <v>42</v>
      </c>
      <c r="O63" s="586">
        <v>60</v>
      </c>
      <c r="P63" s="586">
        <f t="shared" si="3"/>
        <v>47.25</v>
      </c>
      <c r="Q63" s="586">
        <v>80</v>
      </c>
      <c r="R63" s="586">
        <f t="shared" si="4"/>
        <v>52.5</v>
      </c>
      <c r="S63" s="586">
        <v>100</v>
      </c>
      <c r="T63" s="584">
        <f t="shared" si="5"/>
        <v>84</v>
      </c>
      <c r="U63" s="587"/>
    </row>
    <row r="64" spans="1:21" ht="31.5" customHeight="1" x14ac:dyDescent="0.2">
      <c r="A64" s="752"/>
      <c r="B64" s="801"/>
      <c r="C64" s="801"/>
      <c r="D64" s="801"/>
      <c r="E64" s="801"/>
      <c r="F64" s="801"/>
      <c r="G64" s="801"/>
      <c r="I64" s="586">
        <v>3</v>
      </c>
      <c r="J64" s="586">
        <v>40</v>
      </c>
      <c r="K64" s="586">
        <v>40</v>
      </c>
      <c r="L64" s="586">
        <v>40</v>
      </c>
      <c r="M64" s="586">
        <v>60</v>
      </c>
      <c r="N64" s="586">
        <f t="shared" si="2"/>
        <v>60</v>
      </c>
      <c r="O64" s="586">
        <v>60</v>
      </c>
      <c r="P64" s="586">
        <f t="shared" si="3"/>
        <v>67.5</v>
      </c>
      <c r="Q64" s="586">
        <v>80</v>
      </c>
      <c r="R64" s="586">
        <f t="shared" si="4"/>
        <v>75</v>
      </c>
      <c r="S64" s="586">
        <v>100</v>
      </c>
      <c r="T64" s="584">
        <f t="shared" si="5"/>
        <v>120</v>
      </c>
      <c r="U64" s="587"/>
    </row>
    <row r="65" spans="1:25" ht="25.5" customHeight="1" x14ac:dyDescent="0.2">
      <c r="A65" s="752"/>
      <c r="B65" s="799"/>
      <c r="C65" s="799"/>
      <c r="D65" s="799"/>
      <c r="E65" s="799"/>
      <c r="F65" s="799"/>
      <c r="G65" s="800"/>
      <c r="I65" s="586">
        <v>3.1</v>
      </c>
      <c r="J65" s="586">
        <v>40</v>
      </c>
      <c r="K65" s="586">
        <v>40</v>
      </c>
      <c r="L65" s="586">
        <v>40</v>
      </c>
      <c r="M65" s="586">
        <v>80</v>
      </c>
      <c r="N65" s="586">
        <f t="shared" si="2"/>
        <v>62</v>
      </c>
      <c r="O65" s="586">
        <v>80</v>
      </c>
      <c r="P65" s="586">
        <f t="shared" si="3"/>
        <v>69.75</v>
      </c>
      <c r="Q65" s="586">
        <v>100</v>
      </c>
      <c r="R65" s="586">
        <f t="shared" si="4"/>
        <v>77.5</v>
      </c>
      <c r="S65" s="586">
        <v>140</v>
      </c>
      <c r="T65" s="584">
        <f t="shared" si="5"/>
        <v>124</v>
      </c>
      <c r="U65" s="587"/>
    </row>
    <row r="66" spans="1:25" ht="15.75" customHeight="1" x14ac:dyDescent="0.2">
      <c r="A66" s="752"/>
      <c r="B66" s="800"/>
      <c r="C66" s="800"/>
      <c r="D66" s="800"/>
      <c r="E66" s="800"/>
      <c r="F66" s="800"/>
      <c r="G66" s="800"/>
      <c r="I66" s="586">
        <v>4</v>
      </c>
      <c r="J66" s="586">
        <v>40</v>
      </c>
      <c r="K66" s="586">
        <v>40</v>
      </c>
      <c r="L66" s="586">
        <v>40</v>
      </c>
      <c r="M66" s="586">
        <v>80</v>
      </c>
      <c r="N66" s="586">
        <f t="shared" si="2"/>
        <v>80</v>
      </c>
      <c r="O66" s="586">
        <v>80</v>
      </c>
      <c r="P66" s="586">
        <f t="shared" si="3"/>
        <v>90</v>
      </c>
      <c r="Q66" s="586">
        <v>100</v>
      </c>
      <c r="R66" s="586">
        <f t="shared" si="4"/>
        <v>100</v>
      </c>
      <c r="S66" s="586">
        <v>140</v>
      </c>
      <c r="T66" s="584">
        <f t="shared" si="5"/>
        <v>160</v>
      </c>
      <c r="U66" s="587"/>
    </row>
    <row r="67" spans="1:25" ht="25.5" customHeight="1" x14ac:dyDescent="0.2">
      <c r="A67" s="752"/>
      <c r="B67" s="799"/>
      <c r="C67" s="799"/>
      <c r="D67" s="799"/>
      <c r="E67" s="799"/>
      <c r="F67" s="799"/>
      <c r="G67" s="800"/>
      <c r="I67" s="586">
        <v>4.0999999999999996</v>
      </c>
      <c r="J67" s="586">
        <v>60</v>
      </c>
      <c r="K67" s="586">
        <v>60</v>
      </c>
      <c r="L67" s="586">
        <v>60</v>
      </c>
      <c r="M67" s="586">
        <v>100</v>
      </c>
      <c r="N67" s="586">
        <f t="shared" si="2"/>
        <v>82</v>
      </c>
      <c r="O67" s="586">
        <v>100</v>
      </c>
      <c r="P67" s="586">
        <f t="shared" si="3"/>
        <v>92.25</v>
      </c>
      <c r="Q67" s="586">
        <v>140</v>
      </c>
      <c r="R67" s="586">
        <f t="shared" si="4"/>
        <v>102.5</v>
      </c>
      <c r="S67" s="586">
        <v>220</v>
      </c>
      <c r="T67" s="584">
        <f t="shared" si="5"/>
        <v>164</v>
      </c>
      <c r="U67" s="587"/>
    </row>
    <row r="68" spans="1:25" ht="16.05" customHeight="1" x14ac:dyDescent="0.3">
      <c r="A68" s="752"/>
      <c r="B68" s="802"/>
      <c r="C68" s="802"/>
      <c r="D68" s="802"/>
      <c r="E68" s="802"/>
      <c r="F68" s="802"/>
      <c r="G68" s="802"/>
      <c r="I68" s="586">
        <v>5</v>
      </c>
      <c r="J68" s="586">
        <v>60</v>
      </c>
      <c r="K68" s="586">
        <v>60</v>
      </c>
      <c r="L68" s="586">
        <v>60</v>
      </c>
      <c r="M68" s="586">
        <v>100</v>
      </c>
      <c r="N68" s="586">
        <f t="shared" si="2"/>
        <v>100</v>
      </c>
      <c r="O68" s="586">
        <v>100</v>
      </c>
      <c r="P68" s="586">
        <f t="shared" si="3"/>
        <v>112.5</v>
      </c>
      <c r="Q68" s="586">
        <v>140</v>
      </c>
      <c r="R68" s="586">
        <f t="shared" si="4"/>
        <v>125</v>
      </c>
      <c r="S68" s="586">
        <v>220</v>
      </c>
      <c r="T68" s="584">
        <f t="shared" si="5"/>
        <v>200</v>
      </c>
      <c r="U68" s="587"/>
    </row>
    <row r="69" spans="1:25" ht="16.05" customHeight="1" x14ac:dyDescent="0.2">
      <c r="A69" s="63"/>
      <c r="B69" s="63"/>
      <c r="C69" s="63"/>
      <c r="D69" s="63"/>
      <c r="E69" s="63"/>
      <c r="F69" s="63"/>
      <c r="G69" s="63"/>
      <c r="I69" s="586">
        <v>5.0999999999999996</v>
      </c>
      <c r="J69" s="586">
        <v>60</v>
      </c>
      <c r="K69" s="586">
        <v>60</v>
      </c>
      <c r="L69" s="586">
        <v>60</v>
      </c>
      <c r="M69" s="586">
        <v>140</v>
      </c>
      <c r="N69" s="586">
        <f t="shared" si="2"/>
        <v>102</v>
      </c>
      <c r="O69" s="586">
        <v>140</v>
      </c>
      <c r="P69" s="586">
        <f t="shared" si="3"/>
        <v>114.75</v>
      </c>
      <c r="Q69" s="586">
        <v>180</v>
      </c>
      <c r="R69" s="586">
        <f t="shared" si="4"/>
        <v>127.5</v>
      </c>
      <c r="S69" s="586">
        <v>260</v>
      </c>
      <c r="T69" s="584">
        <f t="shared" si="5"/>
        <v>204</v>
      </c>
      <c r="U69" s="587"/>
    </row>
    <row r="70" spans="1:25" ht="16.05" customHeight="1" x14ac:dyDescent="0.3">
      <c r="A70" s="753"/>
      <c r="B70" s="808"/>
      <c r="C70" s="808"/>
      <c r="D70" s="808"/>
      <c r="E70" s="808"/>
      <c r="F70" s="808"/>
      <c r="G70" s="808"/>
      <c r="I70" s="586">
        <v>6</v>
      </c>
      <c r="J70" s="586">
        <v>60</v>
      </c>
      <c r="K70" s="586">
        <v>60</v>
      </c>
      <c r="L70" s="586">
        <v>60</v>
      </c>
      <c r="M70" s="586">
        <v>140</v>
      </c>
      <c r="N70" s="586">
        <f t="shared" si="2"/>
        <v>120</v>
      </c>
      <c r="O70" s="586">
        <v>140</v>
      </c>
      <c r="P70" s="586">
        <f t="shared" si="3"/>
        <v>135</v>
      </c>
      <c r="Q70" s="586">
        <v>180</v>
      </c>
      <c r="R70" s="586">
        <f t="shared" si="4"/>
        <v>150</v>
      </c>
      <c r="S70" s="586">
        <v>260</v>
      </c>
      <c r="T70" s="584">
        <f t="shared" si="5"/>
        <v>240</v>
      </c>
      <c r="U70" s="587"/>
    </row>
    <row r="71" spans="1:25" ht="16.05" customHeight="1" x14ac:dyDescent="0.3">
      <c r="A71" s="753"/>
      <c r="B71" s="808"/>
      <c r="C71" s="808"/>
      <c r="D71" s="808"/>
      <c r="E71" s="808"/>
      <c r="F71" s="808"/>
      <c r="G71" s="808"/>
      <c r="I71" s="586">
        <v>6.1</v>
      </c>
      <c r="J71" s="586">
        <v>80</v>
      </c>
      <c r="K71" s="586">
        <v>80</v>
      </c>
      <c r="L71" s="586">
        <v>80</v>
      </c>
      <c r="M71" s="586">
        <v>140</v>
      </c>
      <c r="N71" s="586">
        <f t="shared" si="2"/>
        <v>122</v>
      </c>
      <c r="O71" s="586">
        <v>180</v>
      </c>
      <c r="P71" s="586">
        <f t="shared" si="3"/>
        <v>137.25</v>
      </c>
      <c r="Q71" s="586">
        <v>180</v>
      </c>
      <c r="R71" s="586">
        <f t="shared" si="4"/>
        <v>152.5</v>
      </c>
      <c r="S71" s="586">
        <v>300</v>
      </c>
      <c r="T71" s="584">
        <f t="shared" si="5"/>
        <v>244</v>
      </c>
      <c r="U71" s="587"/>
    </row>
    <row r="72" spans="1:25" ht="16.05" customHeight="1" x14ac:dyDescent="0.2">
      <c r="A72" s="752"/>
      <c r="B72" s="799"/>
      <c r="C72" s="799"/>
      <c r="D72" s="799"/>
      <c r="E72" s="799"/>
      <c r="F72" s="799"/>
      <c r="G72" s="800"/>
      <c r="I72" s="586">
        <v>7</v>
      </c>
      <c r="J72" s="586">
        <v>80</v>
      </c>
      <c r="K72" s="586">
        <v>80</v>
      </c>
      <c r="L72" s="586">
        <v>80</v>
      </c>
      <c r="M72" s="586">
        <v>140</v>
      </c>
      <c r="N72" s="586">
        <f t="shared" si="2"/>
        <v>140</v>
      </c>
      <c r="O72" s="586">
        <v>180</v>
      </c>
      <c r="P72" s="586">
        <f t="shared" si="3"/>
        <v>157.5</v>
      </c>
      <c r="Q72" s="586">
        <v>180</v>
      </c>
      <c r="R72" s="586">
        <f t="shared" si="4"/>
        <v>175</v>
      </c>
      <c r="S72" s="586">
        <v>300</v>
      </c>
      <c r="T72" s="584">
        <f t="shared" si="5"/>
        <v>280</v>
      </c>
      <c r="U72" s="587"/>
    </row>
    <row r="73" spans="1:25" ht="16.05" customHeight="1" x14ac:dyDescent="0.2">
      <c r="A73" s="818"/>
      <c r="B73" s="819"/>
      <c r="C73" s="819"/>
      <c r="D73" s="819"/>
      <c r="E73" s="819"/>
      <c r="F73" s="819"/>
      <c r="G73" s="819"/>
      <c r="I73" s="586">
        <v>7.1</v>
      </c>
      <c r="J73" s="586">
        <v>80</v>
      </c>
      <c r="K73" s="586">
        <v>80</v>
      </c>
      <c r="L73" s="586">
        <v>80</v>
      </c>
      <c r="M73" s="586">
        <v>140</v>
      </c>
      <c r="N73" s="586">
        <f t="shared" si="2"/>
        <v>142</v>
      </c>
      <c r="O73" s="586">
        <v>180</v>
      </c>
      <c r="P73" s="586">
        <f t="shared" si="3"/>
        <v>159.75</v>
      </c>
      <c r="Q73" s="586">
        <v>220</v>
      </c>
      <c r="R73" s="586">
        <f t="shared" si="4"/>
        <v>177.5</v>
      </c>
      <c r="S73" s="586">
        <v>340</v>
      </c>
      <c r="T73" s="584">
        <f t="shared" si="5"/>
        <v>284</v>
      </c>
      <c r="U73" s="587"/>
    </row>
    <row r="74" spans="1:25" ht="27" customHeight="1" x14ac:dyDescent="0.2">
      <c r="A74" s="820"/>
      <c r="B74" s="819"/>
      <c r="C74" s="819"/>
      <c r="D74" s="819"/>
      <c r="E74" s="819"/>
      <c r="F74" s="819"/>
      <c r="G74" s="819"/>
      <c r="I74" s="586">
        <v>8</v>
      </c>
      <c r="J74" s="586">
        <v>80</v>
      </c>
      <c r="K74" s="586">
        <v>80</v>
      </c>
      <c r="L74" s="586">
        <v>80</v>
      </c>
      <c r="M74" s="586">
        <v>140</v>
      </c>
      <c r="N74" s="586">
        <f t="shared" si="2"/>
        <v>160</v>
      </c>
      <c r="O74" s="586">
        <v>180</v>
      </c>
      <c r="P74" s="586">
        <f t="shared" si="3"/>
        <v>180</v>
      </c>
      <c r="Q74" s="586">
        <v>220</v>
      </c>
      <c r="R74" s="586">
        <f t="shared" si="4"/>
        <v>200</v>
      </c>
      <c r="S74" s="586">
        <v>340</v>
      </c>
      <c r="T74" s="584">
        <f t="shared" si="5"/>
        <v>320</v>
      </c>
      <c r="U74" s="587"/>
    </row>
    <row r="75" spans="1:25" x14ac:dyDescent="0.2">
      <c r="I75" s="586">
        <v>8.1</v>
      </c>
      <c r="J75" s="586">
        <v>100</v>
      </c>
      <c r="K75" s="586">
        <v>100</v>
      </c>
      <c r="L75" s="586">
        <v>100</v>
      </c>
      <c r="M75" s="586">
        <v>180</v>
      </c>
      <c r="N75" s="586">
        <f t="shared" si="2"/>
        <v>162</v>
      </c>
      <c r="O75" s="586">
        <v>220</v>
      </c>
      <c r="P75" s="586">
        <f t="shared" si="3"/>
        <v>182.25</v>
      </c>
      <c r="Q75" s="586">
        <v>220</v>
      </c>
      <c r="R75" s="586">
        <f t="shared" si="4"/>
        <v>202.5</v>
      </c>
      <c r="S75" s="586">
        <v>400</v>
      </c>
      <c r="T75" s="584">
        <f t="shared" si="5"/>
        <v>324</v>
      </c>
      <c r="U75" s="587"/>
    </row>
    <row r="76" spans="1:25" x14ac:dyDescent="0.2">
      <c r="I76" s="586">
        <v>9</v>
      </c>
      <c r="J76" s="586">
        <v>100</v>
      </c>
      <c r="K76" s="586">
        <v>100</v>
      </c>
      <c r="L76" s="586">
        <v>100</v>
      </c>
      <c r="M76" s="586">
        <v>180</v>
      </c>
      <c r="N76" s="586">
        <f t="shared" si="2"/>
        <v>180</v>
      </c>
      <c r="O76" s="586">
        <v>220</v>
      </c>
      <c r="P76" s="586">
        <f t="shared" si="3"/>
        <v>202.5</v>
      </c>
      <c r="Q76" s="586">
        <v>220</v>
      </c>
      <c r="R76" s="586">
        <f t="shared" si="4"/>
        <v>225</v>
      </c>
      <c r="S76" s="586">
        <v>400</v>
      </c>
      <c r="T76" s="584">
        <f t="shared" si="5"/>
        <v>360</v>
      </c>
      <c r="U76" s="587"/>
    </row>
    <row r="77" spans="1:25" x14ac:dyDescent="0.2">
      <c r="I77" s="586">
        <v>9.1</v>
      </c>
      <c r="J77" s="586">
        <v>100</v>
      </c>
      <c r="K77" s="586">
        <v>100</v>
      </c>
      <c r="L77" s="586">
        <v>100</v>
      </c>
      <c r="M77" s="586">
        <v>180</v>
      </c>
      <c r="N77" s="586">
        <f t="shared" si="2"/>
        <v>182</v>
      </c>
      <c r="O77" s="586">
        <v>220</v>
      </c>
      <c r="P77" s="586">
        <f t="shared" si="3"/>
        <v>204.75</v>
      </c>
      <c r="Q77" s="586">
        <v>260</v>
      </c>
      <c r="R77" s="586">
        <f t="shared" si="4"/>
        <v>227.5</v>
      </c>
      <c r="S77" s="586">
        <v>400</v>
      </c>
      <c r="T77" s="584">
        <f t="shared" si="5"/>
        <v>364</v>
      </c>
      <c r="U77" s="587"/>
    </row>
    <row r="78" spans="1:25" x14ac:dyDescent="0.2">
      <c r="I78" s="586">
        <v>10</v>
      </c>
      <c r="J78" s="586">
        <v>100</v>
      </c>
      <c r="K78" s="586">
        <v>100</v>
      </c>
      <c r="L78" s="586">
        <v>100</v>
      </c>
      <c r="M78" s="586">
        <v>180</v>
      </c>
      <c r="N78" s="586">
        <f t="shared" si="2"/>
        <v>200</v>
      </c>
      <c r="O78" s="586">
        <v>220</v>
      </c>
      <c r="P78" s="586">
        <f t="shared" si="3"/>
        <v>225</v>
      </c>
      <c r="Q78" s="586">
        <v>260</v>
      </c>
      <c r="R78" s="586">
        <f t="shared" si="4"/>
        <v>250</v>
      </c>
      <c r="S78" s="586">
        <v>400</v>
      </c>
      <c r="T78" s="584">
        <f t="shared" si="5"/>
        <v>400</v>
      </c>
      <c r="U78" s="587"/>
    </row>
    <row r="79" spans="1:25" x14ac:dyDescent="0.2">
      <c r="I79" s="586">
        <v>10.1</v>
      </c>
      <c r="J79" s="586">
        <v>140</v>
      </c>
      <c r="K79" s="586">
        <v>140</v>
      </c>
      <c r="L79" s="586">
        <v>140</v>
      </c>
      <c r="M79" s="586">
        <v>220</v>
      </c>
      <c r="N79" s="586">
        <f t="shared" ref="N79:N98" si="6">I79*10*2</f>
        <v>202</v>
      </c>
      <c r="O79" s="586">
        <v>260</v>
      </c>
      <c r="P79" s="586">
        <f t="shared" si="3"/>
        <v>227.25</v>
      </c>
      <c r="Q79" s="586">
        <v>260</v>
      </c>
      <c r="R79" s="586">
        <f t="shared" si="4"/>
        <v>252.5</v>
      </c>
      <c r="S79" s="586">
        <v>480</v>
      </c>
      <c r="T79" s="584">
        <f t="shared" si="5"/>
        <v>404</v>
      </c>
      <c r="U79" s="587"/>
      <c r="Y79" s="94"/>
    </row>
    <row r="80" spans="1:25" x14ac:dyDescent="0.2">
      <c r="I80" s="586">
        <v>11</v>
      </c>
      <c r="J80" s="586">
        <v>140</v>
      </c>
      <c r="K80" s="586">
        <v>140</v>
      </c>
      <c r="L80" s="586">
        <v>140</v>
      </c>
      <c r="M80" s="586">
        <v>220</v>
      </c>
      <c r="N80" s="586">
        <f t="shared" si="6"/>
        <v>220</v>
      </c>
      <c r="O80" s="586">
        <v>260</v>
      </c>
      <c r="P80" s="586">
        <f t="shared" si="3"/>
        <v>247.5</v>
      </c>
      <c r="Q80" s="586">
        <v>260</v>
      </c>
      <c r="R80" s="586">
        <f t="shared" si="4"/>
        <v>275</v>
      </c>
      <c r="S80" s="586">
        <v>480</v>
      </c>
      <c r="T80" s="584">
        <f t="shared" si="5"/>
        <v>440</v>
      </c>
      <c r="U80" s="587"/>
    </row>
    <row r="81" spans="9:22" x14ac:dyDescent="0.2">
      <c r="I81" s="586">
        <v>11.1</v>
      </c>
      <c r="J81" s="586">
        <v>140</v>
      </c>
      <c r="K81" s="586">
        <v>140</v>
      </c>
      <c r="L81" s="586">
        <v>140</v>
      </c>
      <c r="M81" s="586">
        <v>220</v>
      </c>
      <c r="N81" s="586">
        <f t="shared" si="6"/>
        <v>222</v>
      </c>
      <c r="O81" s="586">
        <v>300</v>
      </c>
      <c r="P81" s="586">
        <f t="shared" si="3"/>
        <v>249.75</v>
      </c>
      <c r="Q81" s="586">
        <v>300</v>
      </c>
      <c r="R81" s="586">
        <f t="shared" si="4"/>
        <v>277.5</v>
      </c>
      <c r="S81" s="586">
        <v>480</v>
      </c>
      <c r="T81" s="584">
        <f t="shared" si="5"/>
        <v>444</v>
      </c>
      <c r="U81" s="587"/>
    </row>
    <row r="82" spans="9:22" x14ac:dyDescent="0.2">
      <c r="I82" s="586">
        <v>12</v>
      </c>
      <c r="J82" s="586">
        <v>140</v>
      </c>
      <c r="K82" s="586">
        <v>140</v>
      </c>
      <c r="L82" s="586">
        <v>140</v>
      </c>
      <c r="M82" s="586">
        <v>220</v>
      </c>
      <c r="N82" s="586">
        <f t="shared" si="6"/>
        <v>240</v>
      </c>
      <c r="O82" s="586">
        <v>300</v>
      </c>
      <c r="P82" s="586">
        <f t="shared" si="3"/>
        <v>270</v>
      </c>
      <c r="Q82" s="586">
        <v>300</v>
      </c>
      <c r="R82" s="586">
        <f t="shared" si="4"/>
        <v>300</v>
      </c>
      <c r="S82" s="586">
        <v>480</v>
      </c>
      <c r="T82" s="584">
        <f t="shared" si="5"/>
        <v>480</v>
      </c>
      <c r="U82" s="587"/>
    </row>
    <row r="83" spans="9:22" x14ac:dyDescent="0.2">
      <c r="I83" s="586">
        <v>12.1</v>
      </c>
      <c r="J83" s="586">
        <v>140</v>
      </c>
      <c r="K83" s="586">
        <v>140</v>
      </c>
      <c r="L83" s="586">
        <v>140</v>
      </c>
      <c r="M83" s="586">
        <v>260</v>
      </c>
      <c r="N83" s="586">
        <f t="shared" si="6"/>
        <v>242</v>
      </c>
      <c r="O83" s="586">
        <v>300</v>
      </c>
      <c r="P83" s="586">
        <f t="shared" si="3"/>
        <v>272.25</v>
      </c>
      <c r="Q83" s="586">
        <v>340</v>
      </c>
      <c r="R83" s="586">
        <f t="shared" si="4"/>
        <v>302.5</v>
      </c>
      <c r="S83" s="586">
        <v>480</v>
      </c>
      <c r="T83" s="584">
        <f t="shared" si="5"/>
        <v>484</v>
      </c>
      <c r="U83" s="587"/>
    </row>
    <row r="84" spans="9:22" x14ac:dyDescent="0.2">
      <c r="I84" s="586">
        <v>13</v>
      </c>
      <c r="J84" s="586">
        <v>140</v>
      </c>
      <c r="K84" s="586">
        <v>140</v>
      </c>
      <c r="L84" s="586">
        <v>140</v>
      </c>
      <c r="M84" s="586">
        <v>260</v>
      </c>
      <c r="N84" s="586">
        <f t="shared" si="6"/>
        <v>260</v>
      </c>
      <c r="O84" s="586">
        <v>300</v>
      </c>
      <c r="P84" s="586">
        <f t="shared" si="3"/>
        <v>292.5</v>
      </c>
      <c r="Q84" s="586">
        <v>340</v>
      </c>
      <c r="R84" s="586">
        <f t="shared" si="4"/>
        <v>325</v>
      </c>
      <c r="S84" s="586">
        <v>480</v>
      </c>
      <c r="T84" s="584">
        <f t="shared" si="5"/>
        <v>520</v>
      </c>
      <c r="U84" s="587"/>
    </row>
    <row r="85" spans="9:22" x14ac:dyDescent="0.2">
      <c r="I85" s="586">
        <v>13.1</v>
      </c>
      <c r="J85" s="586">
        <v>140</v>
      </c>
      <c r="K85" s="586">
        <v>140</v>
      </c>
      <c r="L85" s="586">
        <v>140</v>
      </c>
      <c r="M85" s="586">
        <v>300</v>
      </c>
      <c r="N85" s="586">
        <f t="shared" si="6"/>
        <v>262</v>
      </c>
      <c r="O85" s="586">
        <v>300</v>
      </c>
      <c r="P85" s="586">
        <f t="shared" si="3"/>
        <v>294.75</v>
      </c>
      <c r="Q85" s="586">
        <v>400</v>
      </c>
      <c r="R85" s="586">
        <f t="shared" si="4"/>
        <v>327.5</v>
      </c>
      <c r="S85" s="586"/>
      <c r="T85" s="584"/>
      <c r="U85" s="587"/>
    </row>
    <row r="86" spans="9:22" x14ac:dyDescent="0.2">
      <c r="I86" s="586">
        <v>14</v>
      </c>
      <c r="J86" s="586">
        <v>140</v>
      </c>
      <c r="K86" s="586">
        <v>140</v>
      </c>
      <c r="L86" s="586">
        <v>140</v>
      </c>
      <c r="M86" s="586">
        <v>300</v>
      </c>
      <c r="N86" s="586">
        <f t="shared" si="6"/>
        <v>280</v>
      </c>
      <c r="O86" s="586">
        <v>300</v>
      </c>
      <c r="P86" s="586">
        <f t="shared" ref="P86:P96" si="7">I86*10*2.25</f>
        <v>315</v>
      </c>
      <c r="Q86" s="586">
        <v>400</v>
      </c>
      <c r="R86" s="586">
        <f t="shared" ref="R86:R93" si="8">I86*10*2.5</f>
        <v>350</v>
      </c>
      <c r="S86" s="586"/>
      <c r="T86" s="584"/>
      <c r="U86" s="587"/>
      <c r="V86" s="74"/>
    </row>
    <row r="87" spans="9:22" x14ac:dyDescent="0.2">
      <c r="I87" s="586">
        <v>14.1</v>
      </c>
      <c r="J87" s="586">
        <v>180</v>
      </c>
      <c r="K87" s="586">
        <v>180</v>
      </c>
      <c r="L87" s="586">
        <v>180</v>
      </c>
      <c r="M87" s="586">
        <v>300</v>
      </c>
      <c r="N87" s="586">
        <f t="shared" si="6"/>
        <v>282</v>
      </c>
      <c r="O87" s="586">
        <v>340</v>
      </c>
      <c r="P87" s="586">
        <f t="shared" si="7"/>
        <v>317.25</v>
      </c>
      <c r="Q87" s="586">
        <v>480</v>
      </c>
      <c r="R87" s="586">
        <f t="shared" si="8"/>
        <v>352.5</v>
      </c>
      <c r="S87" s="586"/>
      <c r="T87" s="584"/>
      <c r="U87" s="587"/>
      <c r="V87" s="74"/>
    </row>
    <row r="88" spans="9:22" x14ac:dyDescent="0.2">
      <c r="I88" s="586">
        <v>15</v>
      </c>
      <c r="J88" s="586">
        <v>180</v>
      </c>
      <c r="K88" s="586">
        <v>180</v>
      </c>
      <c r="L88" s="586">
        <v>180</v>
      </c>
      <c r="M88" s="586">
        <v>300</v>
      </c>
      <c r="N88" s="586">
        <f t="shared" si="6"/>
        <v>300</v>
      </c>
      <c r="O88" s="586">
        <v>340</v>
      </c>
      <c r="P88" s="586">
        <f t="shared" si="7"/>
        <v>337.5</v>
      </c>
      <c r="Q88" s="586">
        <v>480</v>
      </c>
      <c r="R88" s="586">
        <f t="shared" si="8"/>
        <v>375</v>
      </c>
      <c r="S88" s="586"/>
      <c r="T88" s="584"/>
      <c r="U88" s="587"/>
      <c r="V88" s="74"/>
    </row>
    <row r="89" spans="9:22" x14ac:dyDescent="0.2">
      <c r="I89" s="586">
        <v>15.1</v>
      </c>
      <c r="J89" s="586">
        <v>180</v>
      </c>
      <c r="K89" s="586">
        <v>180</v>
      </c>
      <c r="L89" s="586">
        <v>180</v>
      </c>
      <c r="M89" s="586">
        <v>300</v>
      </c>
      <c r="N89" s="586">
        <f t="shared" si="6"/>
        <v>302</v>
      </c>
      <c r="O89" s="586">
        <v>340</v>
      </c>
      <c r="P89" s="586">
        <f t="shared" si="7"/>
        <v>339.75</v>
      </c>
      <c r="Q89" s="586">
        <v>480</v>
      </c>
      <c r="R89" s="586">
        <f t="shared" si="8"/>
        <v>377.5</v>
      </c>
      <c r="S89" s="586"/>
      <c r="T89" s="584"/>
      <c r="U89" s="587"/>
      <c r="V89" s="74"/>
    </row>
    <row r="90" spans="9:22" x14ac:dyDescent="0.2">
      <c r="I90" s="586">
        <v>16</v>
      </c>
      <c r="J90" s="586">
        <v>180</v>
      </c>
      <c r="K90" s="586">
        <v>180</v>
      </c>
      <c r="L90" s="586">
        <v>180</v>
      </c>
      <c r="M90" s="586">
        <v>300</v>
      </c>
      <c r="N90" s="586">
        <f t="shared" si="6"/>
        <v>320</v>
      </c>
      <c r="O90" s="586">
        <v>340</v>
      </c>
      <c r="P90" s="586">
        <f t="shared" si="7"/>
        <v>360</v>
      </c>
      <c r="Q90" s="586">
        <v>480</v>
      </c>
      <c r="R90" s="586">
        <f t="shared" si="8"/>
        <v>400</v>
      </c>
      <c r="S90" s="586"/>
      <c r="T90" s="584"/>
      <c r="U90" s="587"/>
      <c r="V90" s="74"/>
    </row>
    <row r="91" spans="9:22" x14ac:dyDescent="0.2">
      <c r="I91" s="586">
        <v>16.100000000000001</v>
      </c>
      <c r="J91" s="586">
        <v>180</v>
      </c>
      <c r="K91" s="586">
        <v>180</v>
      </c>
      <c r="L91" s="586">
        <v>180</v>
      </c>
      <c r="M91" s="586">
        <v>340</v>
      </c>
      <c r="N91" s="586">
        <f t="shared" si="6"/>
        <v>322</v>
      </c>
      <c r="O91" s="586">
        <v>400</v>
      </c>
      <c r="P91" s="586">
        <f t="shared" si="7"/>
        <v>362.25</v>
      </c>
      <c r="Q91" s="586">
        <v>480</v>
      </c>
      <c r="R91" s="586">
        <f t="shared" si="8"/>
        <v>402.5</v>
      </c>
      <c r="S91" s="586"/>
      <c r="T91" s="584"/>
      <c r="U91" s="587"/>
      <c r="V91" s="74"/>
    </row>
    <row r="92" spans="9:22" x14ac:dyDescent="0.2">
      <c r="I92" s="586">
        <v>18</v>
      </c>
      <c r="J92" s="586">
        <v>180</v>
      </c>
      <c r="K92" s="586">
        <v>180</v>
      </c>
      <c r="L92" s="586">
        <v>180</v>
      </c>
      <c r="M92" s="586">
        <v>340</v>
      </c>
      <c r="N92" s="586">
        <f t="shared" si="6"/>
        <v>360</v>
      </c>
      <c r="O92" s="586">
        <v>400</v>
      </c>
      <c r="P92" s="586">
        <f t="shared" si="7"/>
        <v>405</v>
      </c>
      <c r="Q92" s="586">
        <v>480</v>
      </c>
      <c r="R92" s="586">
        <f t="shared" si="8"/>
        <v>450</v>
      </c>
      <c r="S92" s="586"/>
      <c r="T92" s="584"/>
      <c r="U92" s="587"/>
      <c r="V92" s="74"/>
    </row>
    <row r="93" spans="9:22" x14ac:dyDescent="0.2">
      <c r="I93" s="586">
        <v>18.100000000000001</v>
      </c>
      <c r="J93" s="586">
        <v>220</v>
      </c>
      <c r="K93" s="586">
        <v>220</v>
      </c>
      <c r="L93" s="586">
        <v>220</v>
      </c>
      <c r="M93" s="586">
        <v>340</v>
      </c>
      <c r="N93" s="586">
        <f t="shared" si="6"/>
        <v>362</v>
      </c>
      <c r="O93" s="586">
        <v>400</v>
      </c>
      <c r="P93" s="586">
        <f t="shared" si="7"/>
        <v>407.25</v>
      </c>
      <c r="Q93" s="586">
        <v>480</v>
      </c>
      <c r="R93" s="586">
        <f t="shared" si="8"/>
        <v>452.5</v>
      </c>
      <c r="S93" s="586"/>
      <c r="T93" s="584"/>
      <c r="U93" s="587"/>
      <c r="V93" s="74"/>
    </row>
    <row r="94" spans="9:22" x14ac:dyDescent="0.2">
      <c r="I94" s="586">
        <v>19.2</v>
      </c>
      <c r="J94" s="586">
        <v>220</v>
      </c>
      <c r="K94" s="586">
        <v>220</v>
      </c>
      <c r="L94" s="586">
        <v>220</v>
      </c>
      <c r="M94" s="586">
        <v>340</v>
      </c>
      <c r="N94" s="586">
        <f t="shared" si="6"/>
        <v>384</v>
      </c>
      <c r="O94" s="586">
        <v>400</v>
      </c>
      <c r="P94" s="586">
        <f t="shared" si="7"/>
        <v>432</v>
      </c>
      <c r="Q94" s="586">
        <v>480</v>
      </c>
      <c r="R94" s="586">
        <v>480</v>
      </c>
      <c r="S94" s="586"/>
      <c r="T94" s="584"/>
      <c r="U94" s="587"/>
      <c r="V94" s="74"/>
    </row>
    <row r="95" spans="9:22" x14ac:dyDescent="0.2">
      <c r="I95" s="586">
        <v>19.3</v>
      </c>
      <c r="J95" s="586">
        <v>220</v>
      </c>
      <c r="K95" s="586">
        <v>220</v>
      </c>
      <c r="L95" s="586">
        <v>220</v>
      </c>
      <c r="M95" s="586">
        <v>480</v>
      </c>
      <c r="N95" s="586">
        <f t="shared" si="6"/>
        <v>386</v>
      </c>
      <c r="O95" s="586">
        <v>480</v>
      </c>
      <c r="P95" s="586">
        <f t="shared" si="7"/>
        <v>434.25</v>
      </c>
      <c r="Q95" s="586"/>
      <c r="R95" s="586"/>
      <c r="S95" s="586"/>
      <c r="T95" s="584"/>
      <c r="U95" s="587"/>
      <c r="V95" s="74"/>
    </row>
    <row r="96" spans="9:22" x14ac:dyDescent="0.2">
      <c r="I96" s="586">
        <v>22</v>
      </c>
      <c r="J96" s="586">
        <v>220</v>
      </c>
      <c r="K96" s="586">
        <v>220</v>
      </c>
      <c r="L96" s="586">
        <v>220</v>
      </c>
      <c r="M96" s="586">
        <v>480</v>
      </c>
      <c r="N96" s="586">
        <f t="shared" si="6"/>
        <v>440</v>
      </c>
      <c r="O96" s="586">
        <v>480</v>
      </c>
      <c r="P96" s="586">
        <f t="shared" si="7"/>
        <v>495</v>
      </c>
      <c r="Q96" s="586"/>
      <c r="R96" s="586"/>
      <c r="S96" s="586"/>
      <c r="T96" s="584"/>
      <c r="U96" s="587"/>
      <c r="V96" s="74"/>
    </row>
    <row r="97" spans="9:22" x14ac:dyDescent="0.2">
      <c r="I97" s="586">
        <v>22.1</v>
      </c>
      <c r="J97" s="586">
        <v>260</v>
      </c>
      <c r="K97" s="586">
        <v>260</v>
      </c>
      <c r="L97" s="586">
        <v>260</v>
      </c>
      <c r="M97" s="586">
        <v>480</v>
      </c>
      <c r="N97" s="586">
        <f t="shared" si="6"/>
        <v>442</v>
      </c>
      <c r="O97" s="586"/>
      <c r="P97" s="586"/>
      <c r="Q97" s="586"/>
      <c r="R97" s="586"/>
      <c r="S97" s="586"/>
      <c r="T97" s="584"/>
      <c r="U97" s="587"/>
      <c r="V97" s="74"/>
    </row>
    <row r="98" spans="9:22" x14ac:dyDescent="0.2">
      <c r="I98" s="586">
        <v>24</v>
      </c>
      <c r="J98" s="586">
        <v>260</v>
      </c>
      <c r="K98" s="586">
        <v>260</v>
      </c>
      <c r="L98" s="586">
        <v>260</v>
      </c>
      <c r="M98" s="586">
        <v>480</v>
      </c>
      <c r="N98" s="586">
        <f t="shared" si="6"/>
        <v>480</v>
      </c>
      <c r="O98" s="586"/>
      <c r="P98" s="586"/>
      <c r="Q98" s="586"/>
      <c r="R98" s="586"/>
      <c r="S98" s="586"/>
      <c r="T98" s="584"/>
      <c r="U98" s="587"/>
      <c r="V98" s="74"/>
    </row>
    <row r="99" spans="9:22" x14ac:dyDescent="0.2">
      <c r="I99" s="586">
        <v>24.1</v>
      </c>
      <c r="J99" s="586">
        <v>260</v>
      </c>
      <c r="K99" s="586">
        <v>260</v>
      </c>
      <c r="L99" s="586">
        <v>260</v>
      </c>
      <c r="M99" s="586"/>
      <c r="N99" s="586"/>
      <c r="O99" s="586"/>
      <c r="P99" s="586"/>
      <c r="Q99" s="586"/>
      <c r="R99" s="586"/>
      <c r="S99" s="586"/>
      <c r="T99" s="584"/>
      <c r="U99" s="587"/>
      <c r="V99" s="74"/>
    </row>
    <row r="100" spans="9:22" x14ac:dyDescent="0.2">
      <c r="I100" s="586">
        <v>26</v>
      </c>
      <c r="J100" s="586">
        <v>260</v>
      </c>
      <c r="K100" s="586">
        <v>260</v>
      </c>
      <c r="L100" s="586">
        <v>260</v>
      </c>
      <c r="M100" s="586"/>
      <c r="N100" s="586"/>
      <c r="O100" s="586"/>
      <c r="P100" s="586"/>
      <c r="Q100" s="586"/>
      <c r="R100" s="586"/>
      <c r="S100" s="586"/>
      <c r="T100" s="584"/>
      <c r="U100" s="587"/>
      <c r="V100" s="74"/>
    </row>
    <row r="101" spans="9:22" x14ac:dyDescent="0.2">
      <c r="I101" s="586">
        <v>26.1</v>
      </c>
      <c r="J101" s="584">
        <v>300</v>
      </c>
      <c r="K101" s="584">
        <v>300</v>
      </c>
      <c r="L101" s="584">
        <v>300</v>
      </c>
      <c r="M101" s="584"/>
      <c r="N101" s="586"/>
      <c r="O101" s="584"/>
      <c r="P101" s="586"/>
      <c r="Q101" s="584"/>
      <c r="R101" s="586"/>
      <c r="S101" s="584"/>
      <c r="T101" s="584"/>
      <c r="U101" s="587"/>
      <c r="V101" s="74"/>
    </row>
    <row r="102" spans="9:22" x14ac:dyDescent="0.2">
      <c r="I102" s="586">
        <v>30</v>
      </c>
      <c r="J102" s="584">
        <v>300</v>
      </c>
      <c r="K102" s="584">
        <v>300</v>
      </c>
      <c r="L102" s="584">
        <v>300</v>
      </c>
      <c r="M102" s="584"/>
      <c r="N102" s="586"/>
      <c r="O102" s="584"/>
      <c r="P102" s="586"/>
      <c r="Q102" s="584"/>
      <c r="R102" s="586"/>
      <c r="S102" s="584"/>
      <c r="T102" s="584"/>
      <c r="U102" s="587"/>
      <c r="V102" s="74"/>
    </row>
    <row r="103" spans="9:22" x14ac:dyDescent="0.2">
      <c r="I103" s="586">
        <v>30.1</v>
      </c>
      <c r="J103" s="584">
        <v>340</v>
      </c>
      <c r="K103" s="584">
        <v>340</v>
      </c>
      <c r="L103" s="584">
        <v>340</v>
      </c>
      <c r="M103" s="584"/>
      <c r="N103" s="586"/>
      <c r="O103" s="584"/>
      <c r="P103" s="586"/>
      <c r="Q103" s="584"/>
      <c r="R103" s="586"/>
      <c r="S103" s="584"/>
      <c r="T103" s="584"/>
      <c r="U103" s="587"/>
      <c r="V103" s="74"/>
    </row>
    <row r="104" spans="9:22" x14ac:dyDescent="0.2">
      <c r="I104" s="586">
        <v>34</v>
      </c>
      <c r="J104" s="584">
        <v>340</v>
      </c>
      <c r="K104" s="584">
        <v>340</v>
      </c>
      <c r="L104" s="584">
        <v>340</v>
      </c>
      <c r="M104" s="584"/>
      <c r="N104" s="586"/>
      <c r="O104" s="584"/>
      <c r="P104" s="586"/>
      <c r="Q104" s="584"/>
      <c r="R104" s="586"/>
      <c r="S104" s="584"/>
      <c r="T104" s="584"/>
      <c r="U104" s="587"/>
      <c r="V104" s="74"/>
    </row>
    <row r="105" spans="9:22" x14ac:dyDescent="0.2">
      <c r="I105" s="586">
        <v>34.1</v>
      </c>
      <c r="J105" s="584">
        <v>400</v>
      </c>
      <c r="K105" s="584">
        <v>400</v>
      </c>
      <c r="L105" s="584">
        <v>400</v>
      </c>
      <c r="M105" s="584"/>
      <c r="N105" s="586"/>
      <c r="O105" s="584"/>
      <c r="P105" s="586"/>
      <c r="Q105" s="584"/>
      <c r="R105" s="586"/>
      <c r="S105" s="584"/>
      <c r="T105" s="584"/>
      <c r="U105" s="587"/>
      <c r="V105" s="74"/>
    </row>
    <row r="106" spans="9:22" x14ac:dyDescent="0.2">
      <c r="I106" s="586">
        <v>40</v>
      </c>
      <c r="J106" s="584">
        <v>400</v>
      </c>
      <c r="K106" s="584">
        <v>400</v>
      </c>
      <c r="L106" s="584">
        <v>400</v>
      </c>
      <c r="M106" s="584"/>
      <c r="N106" s="586"/>
      <c r="O106" s="584"/>
      <c r="P106" s="586"/>
      <c r="Q106" s="584"/>
      <c r="R106" s="586"/>
      <c r="S106" s="584"/>
      <c r="T106" s="584"/>
      <c r="U106" s="587"/>
      <c r="V106" s="74"/>
    </row>
    <row r="107" spans="9:22" x14ac:dyDescent="0.2">
      <c r="I107" s="586">
        <v>40.1</v>
      </c>
      <c r="J107" s="584">
        <v>480</v>
      </c>
      <c r="K107" s="584">
        <v>480</v>
      </c>
      <c r="L107" s="584">
        <v>480</v>
      </c>
      <c r="M107" s="584"/>
      <c r="N107" s="586"/>
      <c r="O107" s="584"/>
      <c r="P107" s="586"/>
      <c r="Q107" s="584"/>
      <c r="R107" s="584"/>
      <c r="S107" s="584"/>
      <c r="T107" s="584"/>
      <c r="U107" s="587"/>
      <c r="V107" s="74"/>
    </row>
    <row r="108" spans="9:22" x14ac:dyDescent="0.2">
      <c r="I108" s="586">
        <v>48</v>
      </c>
      <c r="J108" s="584">
        <v>480</v>
      </c>
      <c r="K108" s="584">
        <v>480</v>
      </c>
      <c r="L108" s="584">
        <v>480</v>
      </c>
      <c r="M108" s="584"/>
      <c r="N108" s="586"/>
      <c r="O108" s="584"/>
      <c r="P108" s="586"/>
      <c r="Q108" s="584"/>
      <c r="R108" s="584"/>
      <c r="S108" s="584"/>
      <c r="T108" s="584"/>
      <c r="U108" s="587"/>
      <c r="V108" s="74"/>
    </row>
    <row r="109" spans="9:22" x14ac:dyDescent="0.2">
      <c r="I109" s="587"/>
      <c r="J109" s="587"/>
      <c r="K109" s="587"/>
      <c r="L109" s="587"/>
      <c r="M109" s="587"/>
      <c r="N109" s="587"/>
      <c r="O109" s="587"/>
      <c r="P109" s="587"/>
      <c r="Q109" s="587"/>
      <c r="R109" s="587"/>
      <c r="S109" s="587"/>
      <c r="T109" s="587"/>
      <c r="U109" s="587"/>
      <c r="V109" s="74"/>
    </row>
    <row r="110" spans="9:22" x14ac:dyDescent="0.2">
      <c r="I110" s="587"/>
      <c r="J110" s="587"/>
      <c r="K110" s="587"/>
      <c r="L110" s="587"/>
      <c r="M110" s="587"/>
      <c r="N110" s="587"/>
      <c r="O110" s="587"/>
      <c r="P110" s="587"/>
      <c r="Q110" s="587"/>
      <c r="R110" s="587"/>
      <c r="S110" s="587"/>
      <c r="T110" s="587"/>
      <c r="U110" s="587"/>
      <c r="V110" s="74"/>
    </row>
    <row r="111" spans="9:22" x14ac:dyDescent="0.2">
      <c r="I111" s="587"/>
      <c r="J111" s="587"/>
      <c r="K111" s="587"/>
      <c r="L111" s="587"/>
      <c r="M111" s="587"/>
      <c r="N111" s="587"/>
      <c r="O111" s="587"/>
      <c r="P111" s="587"/>
      <c r="Q111" s="587"/>
      <c r="R111" s="587"/>
      <c r="S111" s="587"/>
      <c r="T111" s="587"/>
      <c r="U111" s="587"/>
      <c r="V111" s="74"/>
    </row>
    <row r="112" spans="9:22" x14ac:dyDescent="0.2">
      <c r="I112" s="587"/>
      <c r="J112" s="587"/>
      <c r="K112" s="587"/>
      <c r="L112" s="587"/>
      <c r="M112" s="587"/>
      <c r="N112" s="587"/>
      <c r="O112" s="587"/>
      <c r="P112" s="587"/>
      <c r="Q112" s="587"/>
      <c r="R112" s="587"/>
      <c r="S112" s="587"/>
      <c r="T112" s="587"/>
      <c r="U112" s="587"/>
      <c r="V112" s="74"/>
    </row>
    <row r="113" spans="9:22" x14ac:dyDescent="0.2">
      <c r="I113" s="587"/>
      <c r="J113" s="587"/>
      <c r="K113" s="587"/>
      <c r="L113" s="587"/>
      <c r="M113" s="587"/>
      <c r="N113" s="587"/>
      <c r="O113" s="587"/>
      <c r="P113" s="587"/>
      <c r="Q113" s="587"/>
      <c r="R113" s="587"/>
      <c r="S113" s="587"/>
      <c r="T113" s="587"/>
      <c r="U113" s="587"/>
      <c r="V113" s="74"/>
    </row>
    <row r="114" spans="9:22" x14ac:dyDescent="0.2">
      <c r="V114" s="74"/>
    </row>
    <row r="115" spans="9:22" x14ac:dyDescent="0.2">
      <c r="V115" s="74"/>
    </row>
    <row r="116" spans="9:22" x14ac:dyDescent="0.2">
      <c r="V116" s="74"/>
    </row>
    <row r="117" spans="9:22" x14ac:dyDescent="0.2">
      <c r="V117" s="74"/>
    </row>
    <row r="118" spans="9:22" x14ac:dyDescent="0.2">
      <c r="V118" s="74"/>
    </row>
    <row r="119" spans="9:22" x14ac:dyDescent="0.2">
      <c r="V119" s="74"/>
    </row>
    <row r="128" spans="9:22" x14ac:dyDescent="0.2">
      <c r="Q128" s="63"/>
    </row>
  </sheetData>
  <autoFilter ref="H19:H39" xr:uid="{00000000-0009-0000-0000-000000000000}"/>
  <mergeCells count="42">
    <mergeCell ref="A6:C6"/>
    <mergeCell ref="C1:G1"/>
    <mergeCell ref="A2:C2"/>
    <mergeCell ref="A4:C4"/>
    <mergeCell ref="A5:C5"/>
    <mergeCell ref="B38:F38"/>
    <mergeCell ref="A17:G17"/>
    <mergeCell ref="B18:B19"/>
    <mergeCell ref="C18:C19"/>
    <mergeCell ref="D18:D19"/>
    <mergeCell ref="E18:E19"/>
    <mergeCell ref="B52:C52"/>
    <mergeCell ref="B53:C53"/>
    <mergeCell ref="A7:C7"/>
    <mergeCell ref="A43:C43"/>
    <mergeCell ref="A47:G47"/>
    <mergeCell ref="A48:G48"/>
    <mergeCell ref="A49:G49"/>
    <mergeCell ref="A10:E10"/>
    <mergeCell ref="A9:E9"/>
    <mergeCell ref="D11:D12"/>
    <mergeCell ref="A20:F20"/>
    <mergeCell ref="A37:F37"/>
    <mergeCell ref="A41:G41"/>
    <mergeCell ref="A42:G42"/>
    <mergeCell ref="A45:G45"/>
    <mergeCell ref="A46:G46"/>
    <mergeCell ref="A72:G72"/>
    <mergeCell ref="A73:G73"/>
    <mergeCell ref="A74:G74"/>
    <mergeCell ref="A64:G64"/>
    <mergeCell ref="A65:G65"/>
    <mergeCell ref="A66:G66"/>
    <mergeCell ref="A67:G67"/>
    <mergeCell ref="A68:G68"/>
    <mergeCell ref="A58:G58"/>
    <mergeCell ref="A61:G61"/>
    <mergeCell ref="A70:G70"/>
    <mergeCell ref="J56:S56"/>
    <mergeCell ref="A71:G71"/>
    <mergeCell ref="A62:G62"/>
    <mergeCell ref="A63:G63"/>
  </mergeCells>
  <conditionalFormatting sqref="D11:D12 E12:F12">
    <cfRule type="expression" dxfId="32" priority="3">
      <formula>$E$12="X"</formula>
    </cfRule>
    <cfRule type="expression" priority="4">
      <formula>$D$12="X"</formula>
    </cfRule>
  </conditionalFormatting>
  <conditionalFormatting sqref="E11:F11 D11:D12">
    <cfRule type="expression" dxfId="31" priority="5">
      <formula>$E$11="X"</formula>
    </cfRule>
  </conditionalFormatting>
  <conditionalFormatting sqref="F13:F14">
    <cfRule type="expression" dxfId="30" priority="2">
      <formula>$F$14&lt;&gt;""</formula>
    </cfRule>
  </conditionalFormatting>
  <conditionalFormatting sqref="G13:G14">
    <cfRule type="expression" dxfId="29" priority="1">
      <formula>$G$14&lt;&gt;""</formula>
    </cfRule>
  </conditionalFormatting>
  <hyperlinks>
    <hyperlink ref="B55" r:id="rId1" xr:uid="{1D3621DA-6025-4D8A-9707-DE78842FB6BD}"/>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5022-7382-4E00-9499-EAD93BB1D33B}">
  <sheetPr>
    <tabColor rgb="FF92D050"/>
  </sheetPr>
  <dimension ref="A1:BH95"/>
  <sheetViews>
    <sheetView view="pageBreakPreview" zoomScaleNormal="100" zoomScaleSheetLayoutView="100" workbookViewId="0">
      <selection activeCell="Z5" sqref="Z5"/>
    </sheetView>
  </sheetViews>
  <sheetFormatPr defaultColWidth="9.109375" defaultRowHeight="11.4" x14ac:dyDescent="0.2"/>
  <cols>
    <col min="1" max="1" width="5.77734375" style="5" customWidth="1"/>
    <col min="2" max="2" width="8.21875" style="5" customWidth="1"/>
    <col min="3" max="3" width="58" style="5" customWidth="1"/>
    <col min="4" max="4" width="10.77734375" style="5" customWidth="1"/>
    <col min="5" max="5" width="5.77734375" style="5" customWidth="1"/>
    <col min="6" max="6" width="10.77734375" style="5" customWidth="1"/>
    <col min="7" max="7" width="10.6640625" style="5" customWidth="1"/>
    <col min="8" max="8" width="8.6640625" style="5" customWidth="1"/>
    <col min="9" max="9" width="7" style="5" customWidth="1"/>
    <col min="10" max="12" width="6.21875" style="89" customWidth="1"/>
    <col min="13" max="13" width="3.77734375" style="5" customWidth="1"/>
    <col min="14" max="22" width="9.21875" style="5" hidden="1" customWidth="1"/>
    <col min="23" max="23" width="9" style="5" customWidth="1"/>
    <col min="24" max="24" width="9.109375" style="5" customWidth="1"/>
    <col min="25" max="30" width="7.77734375" style="5" customWidth="1"/>
    <col min="31" max="31" width="8" style="5" customWidth="1"/>
    <col min="32" max="39" width="7.77734375" style="5" customWidth="1"/>
    <col min="40" max="40" width="9.109375" style="5" customWidth="1"/>
    <col min="41" max="46" width="9.109375" style="5"/>
    <col min="47" max="47" width="6.33203125" style="5" bestFit="1" customWidth="1"/>
    <col min="48" max="16384" width="9.109375" style="5"/>
  </cols>
  <sheetData>
    <row r="1" spans="1:30" ht="129.75" customHeight="1" x14ac:dyDescent="0.2">
      <c r="C1" s="734" t="s">
        <v>449</v>
      </c>
      <c r="D1" s="734"/>
      <c r="E1" s="734"/>
      <c r="F1" s="734"/>
      <c r="G1" s="734"/>
      <c r="H1" s="8"/>
      <c r="I1" s="8"/>
      <c r="J1" s="80"/>
      <c r="K1" s="80"/>
      <c r="L1" s="80"/>
      <c r="M1" s="8"/>
      <c r="N1" s="8"/>
      <c r="O1" s="8"/>
      <c r="P1" s="8"/>
      <c r="Q1" s="8"/>
      <c r="R1" s="8"/>
      <c r="S1" s="8"/>
      <c r="T1" s="8"/>
      <c r="U1" s="8"/>
      <c r="V1" s="8"/>
      <c r="W1" s="8"/>
      <c r="X1" s="8"/>
      <c r="Y1" s="8"/>
    </row>
    <row r="2" spans="1:30" ht="14.4" x14ac:dyDescent="0.3">
      <c r="A2" s="739" t="s">
        <v>493</v>
      </c>
      <c r="B2" s="740"/>
      <c r="C2" s="740"/>
      <c r="I2" s="58"/>
      <c r="J2" s="58"/>
      <c r="K2" s="58"/>
      <c r="L2" s="58"/>
      <c r="M2" s="58"/>
      <c r="N2" s="58"/>
      <c r="O2" s="58"/>
      <c r="P2" s="58"/>
      <c r="Q2" s="58"/>
      <c r="R2" s="58"/>
      <c r="S2" s="58"/>
      <c r="T2" s="58"/>
      <c r="U2" s="58"/>
      <c r="V2" s="58"/>
      <c r="W2" s="58"/>
      <c r="Z2" s="68"/>
    </row>
    <row r="3" spans="1:30" ht="8.25" customHeight="1" x14ac:dyDescent="0.3">
      <c r="A3" s="2"/>
      <c r="B3"/>
      <c r="C3"/>
      <c r="I3" s="58"/>
      <c r="J3" s="58"/>
      <c r="K3" s="58"/>
      <c r="L3" s="58"/>
      <c r="M3" s="58"/>
      <c r="N3" s="58"/>
      <c r="O3" s="58"/>
      <c r="P3" s="58"/>
      <c r="Q3" s="58"/>
      <c r="R3" s="58"/>
      <c r="S3" s="58"/>
      <c r="T3" s="58"/>
      <c r="U3" s="58"/>
      <c r="V3" s="58"/>
      <c r="W3" s="58"/>
      <c r="Z3" s="68"/>
    </row>
    <row r="4" spans="1:30" ht="14.4" x14ac:dyDescent="0.3">
      <c r="A4" s="739" t="s">
        <v>77</v>
      </c>
      <c r="B4" s="740"/>
      <c r="C4" s="740"/>
      <c r="I4" s="58"/>
      <c r="J4" s="58"/>
      <c r="K4" s="58"/>
      <c r="L4" s="58"/>
      <c r="M4" s="58"/>
      <c r="N4" s="58"/>
      <c r="O4" s="58"/>
      <c r="P4" s="58"/>
      <c r="Q4" s="58"/>
      <c r="R4" s="58"/>
      <c r="S4" s="58"/>
      <c r="T4" s="58"/>
      <c r="U4" s="58"/>
      <c r="V4" s="58"/>
      <c r="W4" s="58"/>
      <c r="Z4" s="68"/>
    </row>
    <row r="5" spans="1:30" ht="14.4" x14ac:dyDescent="0.3">
      <c r="A5" s="739" t="s">
        <v>78</v>
      </c>
      <c r="B5" s="740"/>
      <c r="C5" s="740"/>
      <c r="I5" s="58"/>
      <c r="J5" s="58"/>
      <c r="K5" s="58"/>
      <c r="L5" s="58"/>
      <c r="M5" s="58"/>
      <c r="N5" s="58"/>
      <c r="O5" s="58"/>
      <c r="P5" s="58"/>
      <c r="Q5" s="58"/>
      <c r="R5" s="58"/>
      <c r="S5" s="58"/>
      <c r="T5" s="58"/>
      <c r="U5" s="58"/>
      <c r="V5" s="58"/>
      <c r="W5" s="58"/>
      <c r="Z5" s="68"/>
    </row>
    <row r="6" spans="1:30" ht="14.4" x14ac:dyDescent="0.3">
      <c r="A6" s="739" t="s">
        <v>16</v>
      </c>
      <c r="B6" s="740"/>
      <c r="C6" s="740"/>
      <c r="I6" s="58"/>
      <c r="J6" s="58"/>
      <c r="K6" s="58"/>
      <c r="L6" s="58"/>
      <c r="M6" s="58"/>
      <c r="N6" s="58"/>
      <c r="O6" s="58"/>
      <c r="P6" s="58"/>
      <c r="Q6" s="58"/>
      <c r="R6" s="58"/>
      <c r="S6" s="58"/>
      <c r="T6" s="58"/>
      <c r="U6" s="58"/>
      <c r="V6" s="58"/>
      <c r="W6" s="58"/>
      <c r="Z6" s="68"/>
    </row>
    <row r="7" spans="1:30" ht="14.4" x14ac:dyDescent="0.3">
      <c r="A7" s="739" t="s">
        <v>13</v>
      </c>
      <c r="B7" s="740"/>
      <c r="C7" s="740"/>
      <c r="I7" s="58"/>
      <c r="J7" s="58"/>
      <c r="K7" s="58"/>
      <c r="L7" s="58"/>
      <c r="M7" s="58"/>
      <c r="N7" s="58"/>
      <c r="O7" s="58"/>
      <c r="P7" s="58"/>
      <c r="Q7" s="58"/>
      <c r="R7" s="58"/>
      <c r="S7" s="58"/>
      <c r="T7" s="58"/>
      <c r="U7" s="58"/>
      <c r="V7" s="58"/>
      <c r="W7" s="58"/>
      <c r="Z7" s="68"/>
    </row>
    <row r="8" spans="1:30" ht="14.4" x14ac:dyDescent="0.3">
      <c r="A8" s="739" t="s">
        <v>17</v>
      </c>
      <c r="B8" s="740"/>
      <c r="C8" s="740"/>
      <c r="I8" s="58"/>
      <c r="J8" s="58"/>
      <c r="K8" s="58"/>
      <c r="L8" s="58"/>
      <c r="M8" s="58"/>
      <c r="N8" s="58"/>
      <c r="O8" s="58"/>
      <c r="P8" s="58"/>
      <c r="Q8" s="58"/>
      <c r="R8" s="58"/>
      <c r="S8" s="58"/>
      <c r="T8" s="58"/>
      <c r="U8" s="58"/>
      <c r="V8" s="58"/>
      <c r="W8" s="58"/>
      <c r="Z8" s="68"/>
    </row>
    <row r="9" spans="1:30" ht="16.05" customHeight="1" x14ac:dyDescent="0.2">
      <c r="A9" s="869" t="s">
        <v>0</v>
      </c>
      <c r="B9" s="869"/>
      <c r="C9" s="869"/>
      <c r="D9" s="869"/>
      <c r="E9" s="869"/>
      <c r="F9" s="869"/>
      <c r="G9" s="27"/>
      <c r="H9" s="3"/>
      <c r="I9" s="3"/>
      <c r="J9" s="59"/>
      <c r="K9" s="59"/>
      <c r="L9" s="59"/>
      <c r="M9" s="3"/>
      <c r="N9" s="3"/>
      <c r="O9" s="3"/>
      <c r="P9" s="3"/>
      <c r="Q9" s="3"/>
      <c r="R9" s="3"/>
      <c r="S9" s="3"/>
      <c r="T9" s="3"/>
      <c r="U9" s="3"/>
      <c r="V9" s="3"/>
      <c r="W9" s="3"/>
      <c r="X9" s="4"/>
      <c r="Y9" s="4"/>
      <c r="Z9" s="4"/>
      <c r="AA9" s="4"/>
      <c r="AB9" s="4"/>
      <c r="AC9" s="4"/>
      <c r="AD9" s="4"/>
    </row>
    <row r="10" spans="1:30" ht="27" customHeight="1" thickBot="1" x14ac:dyDescent="0.25">
      <c r="A10" s="735" t="s">
        <v>46</v>
      </c>
      <c r="B10" s="735"/>
      <c r="C10" s="735"/>
      <c r="D10" s="735"/>
      <c r="E10" s="735"/>
      <c r="F10" s="735"/>
      <c r="G10" s="9"/>
      <c r="H10" s="3"/>
      <c r="I10" s="3"/>
      <c r="J10" s="59"/>
      <c r="K10" s="59"/>
      <c r="L10" s="59"/>
      <c r="M10" s="3"/>
      <c r="N10" s="3"/>
      <c r="O10" s="3"/>
      <c r="P10" s="3"/>
      <c r="Q10" s="3"/>
      <c r="R10" s="3"/>
      <c r="S10" s="3"/>
      <c r="T10" s="3"/>
      <c r="U10" s="3"/>
      <c r="V10" s="3"/>
      <c r="W10" s="109"/>
      <c r="X10" s="4"/>
      <c r="Y10" s="4"/>
      <c r="Z10" s="4"/>
      <c r="AA10" s="4"/>
      <c r="AB10" s="4"/>
      <c r="AC10" s="4"/>
      <c r="AD10" s="4"/>
    </row>
    <row r="11" spans="1:30" ht="15" customHeight="1" x14ac:dyDescent="0.2">
      <c r="A11" s="53"/>
      <c r="B11" s="53"/>
      <c r="C11" s="53"/>
      <c r="D11" s="857" t="s">
        <v>177</v>
      </c>
      <c r="E11" s="691"/>
      <c r="F11" s="871" t="s">
        <v>234</v>
      </c>
      <c r="G11" s="872"/>
      <c r="H11" s="3"/>
      <c r="I11" s="3"/>
      <c r="J11" s="59"/>
      <c r="K11" s="59"/>
      <c r="L11" s="59"/>
      <c r="M11" s="3"/>
      <c r="N11" s="3"/>
      <c r="O11" s="3"/>
      <c r="P11" s="3"/>
      <c r="Q11" s="3"/>
      <c r="R11" s="3"/>
      <c r="S11" s="3"/>
      <c r="T11" s="3"/>
      <c r="U11" s="3"/>
      <c r="V11" s="3"/>
      <c r="W11" s="109"/>
      <c r="X11" s="4"/>
      <c r="Y11" s="4"/>
      <c r="AD11" s="4"/>
    </row>
    <row r="12" spans="1:30" ht="15" customHeight="1" thickBot="1" x14ac:dyDescent="0.25">
      <c r="A12" s="53"/>
      <c r="B12" s="53"/>
      <c r="C12" s="53"/>
      <c r="D12" s="870"/>
      <c r="E12" s="692"/>
      <c r="F12" s="867" t="s">
        <v>179</v>
      </c>
      <c r="G12" s="873"/>
      <c r="H12" s="3"/>
      <c r="I12" s="3"/>
      <c r="J12" s="59"/>
      <c r="K12" s="59"/>
      <c r="L12" s="59"/>
      <c r="M12" s="3"/>
      <c r="N12" s="3"/>
      <c r="O12" s="3"/>
      <c r="P12" s="3"/>
      <c r="Q12" s="3"/>
      <c r="R12" s="3"/>
      <c r="S12" s="3"/>
      <c r="T12" s="3"/>
      <c r="U12" s="3"/>
      <c r="V12" s="3"/>
      <c r="W12" s="109"/>
      <c r="X12" s="4"/>
      <c r="Y12" s="4"/>
      <c r="AD12" s="4"/>
    </row>
    <row r="13" spans="1:30" ht="15" customHeight="1" thickBot="1" x14ac:dyDescent="0.25">
      <c r="A13" s="53"/>
      <c r="B13" s="53"/>
      <c r="C13" s="53"/>
      <c r="D13" s="107"/>
      <c r="E13" s="108"/>
      <c r="F13" s="61"/>
      <c r="G13" s="9"/>
      <c r="H13" s="3"/>
      <c r="I13" s="3"/>
      <c r="J13" s="59"/>
      <c r="K13" s="59"/>
      <c r="L13" s="59"/>
      <c r="M13" s="3"/>
      <c r="N13" s="3"/>
      <c r="O13" s="3"/>
      <c r="P13" s="3"/>
      <c r="Q13" s="3"/>
      <c r="R13" s="3"/>
      <c r="S13" s="3"/>
      <c r="T13" s="3"/>
      <c r="U13" s="3"/>
      <c r="V13" s="3"/>
      <c r="W13" s="109"/>
      <c r="X13" s="4"/>
      <c r="Y13" s="4"/>
      <c r="AD13" s="4"/>
    </row>
    <row r="14" spans="1:30" ht="15" customHeight="1" x14ac:dyDescent="0.2">
      <c r="A14" s="53"/>
      <c r="B14" s="53"/>
      <c r="C14" s="53"/>
      <c r="D14" s="857" t="s">
        <v>209</v>
      </c>
      <c r="E14" s="576"/>
      <c r="F14" s="860" t="s">
        <v>279</v>
      </c>
      <c r="G14" s="861"/>
      <c r="H14" s="3"/>
      <c r="I14" s="3"/>
      <c r="J14" s="59"/>
      <c r="K14" s="59"/>
      <c r="L14" s="59"/>
      <c r="M14" s="3"/>
      <c r="N14" s="3"/>
      <c r="O14" s="3"/>
      <c r="P14" s="3"/>
      <c r="Q14" s="3"/>
      <c r="R14" s="3"/>
      <c r="S14" s="3"/>
      <c r="T14" s="3"/>
      <c r="U14" s="3"/>
      <c r="V14" s="3"/>
      <c r="W14" s="109"/>
      <c r="X14" s="4"/>
      <c r="Y14" s="4"/>
      <c r="AD14" s="4"/>
    </row>
    <row r="15" spans="1:30" ht="15" customHeight="1" x14ac:dyDescent="0.2">
      <c r="A15" s="3"/>
      <c r="B15" s="3"/>
      <c r="C15" s="3"/>
      <c r="D15" s="858"/>
      <c r="E15" s="575"/>
      <c r="F15" s="862" t="s">
        <v>280</v>
      </c>
      <c r="G15" s="863"/>
      <c r="H15" s="3"/>
      <c r="I15" s="3"/>
      <c r="J15" s="59"/>
      <c r="K15" s="59"/>
      <c r="L15" s="59"/>
      <c r="M15" s="3"/>
      <c r="N15" s="3"/>
      <c r="O15" s="3"/>
      <c r="P15" s="3"/>
      <c r="Q15" s="3"/>
      <c r="R15" s="3"/>
      <c r="S15" s="3"/>
      <c r="T15" s="3"/>
      <c r="U15" s="3"/>
      <c r="V15" s="3"/>
    </row>
    <row r="16" spans="1:30" ht="15" customHeight="1" x14ac:dyDescent="0.2">
      <c r="A16" s="3"/>
      <c r="B16" s="3"/>
      <c r="C16" s="3"/>
      <c r="D16" s="858"/>
      <c r="E16" s="575"/>
      <c r="F16" s="862" t="s">
        <v>281</v>
      </c>
      <c r="G16" s="864"/>
      <c r="H16" s="3"/>
      <c r="I16" s="3"/>
      <c r="J16" s="59"/>
      <c r="K16" s="59"/>
      <c r="L16" s="59"/>
      <c r="M16" s="3"/>
      <c r="N16" s="3"/>
      <c r="O16" s="3"/>
      <c r="P16" s="3"/>
      <c r="Q16" s="3"/>
      <c r="R16" s="3"/>
      <c r="S16" s="3"/>
      <c r="T16" s="3"/>
      <c r="U16" s="3"/>
      <c r="V16" s="3"/>
    </row>
    <row r="17" spans="1:49" ht="15" customHeight="1" x14ac:dyDescent="0.2">
      <c r="A17" s="3"/>
      <c r="B17" s="3"/>
      <c r="C17" s="3"/>
      <c r="D17" s="858"/>
      <c r="E17" s="575"/>
      <c r="F17" s="865" t="s">
        <v>282</v>
      </c>
      <c r="G17" s="866"/>
      <c r="H17" s="3"/>
      <c r="I17" s="3"/>
      <c r="J17" s="59"/>
      <c r="K17" s="59"/>
      <c r="L17" s="59"/>
      <c r="M17" s="3"/>
      <c r="N17" s="3"/>
      <c r="O17" s="3"/>
      <c r="P17" s="3"/>
      <c r="Q17" s="3"/>
      <c r="R17" s="3"/>
      <c r="S17" s="3"/>
      <c r="T17" s="3"/>
      <c r="U17" s="3"/>
      <c r="V17" s="3"/>
    </row>
    <row r="18" spans="1:49" ht="15" customHeight="1" thickBot="1" x14ac:dyDescent="0.25">
      <c r="A18" s="3"/>
      <c r="B18" s="3"/>
      <c r="C18" s="3"/>
      <c r="D18" s="859"/>
      <c r="E18" s="209"/>
      <c r="F18" s="867" t="s">
        <v>283</v>
      </c>
      <c r="G18" s="868"/>
      <c r="H18" s="3"/>
      <c r="I18" s="3"/>
      <c r="J18" s="59"/>
      <c r="K18" s="59"/>
      <c r="L18" s="59"/>
      <c r="M18" s="3"/>
      <c r="N18" s="3"/>
      <c r="O18" s="3"/>
      <c r="P18" s="3"/>
      <c r="Q18" s="3"/>
      <c r="R18" s="3"/>
      <c r="S18" s="3"/>
      <c r="T18" s="3"/>
      <c r="U18" s="3"/>
      <c r="V18" s="3"/>
      <c r="W18" s="95"/>
      <c r="X18" s="106"/>
      <c r="Y18" s="106"/>
      <c r="AD18" s="106"/>
      <c r="AE18" s="106"/>
      <c r="AF18" s="106"/>
      <c r="AG18" s="106"/>
      <c r="AH18" s="106"/>
      <c r="AI18" s="106"/>
      <c r="AJ18" s="106"/>
      <c r="AK18" s="106"/>
      <c r="AL18" s="106"/>
      <c r="AM18" s="106"/>
    </row>
    <row r="19" spans="1:49" ht="15" customHeight="1" x14ac:dyDescent="0.2">
      <c r="A19" s="3"/>
      <c r="B19" s="3"/>
      <c r="C19" s="3"/>
      <c r="H19" s="3"/>
      <c r="I19" s="3"/>
      <c r="J19" s="59"/>
      <c r="K19" s="59"/>
      <c r="L19" s="59"/>
      <c r="M19" s="3"/>
      <c r="N19" s="3"/>
      <c r="O19" s="3"/>
      <c r="P19" s="3"/>
      <c r="Q19" s="3"/>
      <c r="R19" s="3"/>
      <c r="S19" s="3"/>
      <c r="T19" s="3"/>
      <c r="U19" s="3"/>
      <c r="V19" s="3"/>
      <c r="W19" s="95"/>
      <c r="AD19" s="106"/>
      <c r="AE19" s="106"/>
      <c r="AF19" s="106"/>
      <c r="AG19" s="106"/>
      <c r="AH19" s="106"/>
      <c r="AI19" s="106"/>
      <c r="AJ19" s="106"/>
      <c r="AK19" s="106"/>
      <c r="AL19" s="106"/>
      <c r="AM19" s="106"/>
    </row>
    <row r="20" spans="1:49" ht="15" customHeight="1" thickBot="1" x14ac:dyDescent="0.25">
      <c r="A20" s="3"/>
      <c r="B20" s="3"/>
      <c r="C20" s="3"/>
      <c r="H20" s="3"/>
      <c r="I20" s="66"/>
      <c r="J20" s="27"/>
      <c r="K20" s="27"/>
      <c r="L20" s="27"/>
      <c r="M20" s="66"/>
      <c r="N20" s="66"/>
      <c r="O20" s="66"/>
      <c r="P20" s="66"/>
      <c r="Q20" s="66"/>
      <c r="R20" s="66"/>
      <c r="S20" s="66"/>
      <c r="T20" s="66"/>
      <c r="U20" s="66"/>
      <c r="V20" s="66"/>
      <c r="W20" s="95"/>
      <c r="AC20" s="106"/>
      <c r="AD20" s="106"/>
      <c r="AE20" s="106"/>
      <c r="AF20" s="106"/>
      <c r="AG20" s="106"/>
      <c r="AH20" s="106"/>
      <c r="AI20" s="106"/>
      <c r="AJ20" s="106"/>
      <c r="AK20" s="106"/>
      <c r="AL20" s="106"/>
      <c r="AM20" s="106"/>
    </row>
    <row r="21" spans="1:49" ht="30" customHeight="1" x14ac:dyDescent="0.2">
      <c r="A21" s="3"/>
      <c r="B21" s="3"/>
      <c r="C21" s="3"/>
      <c r="D21" s="204" t="s">
        <v>221</v>
      </c>
      <c r="E21" s="205" t="s">
        <v>222</v>
      </c>
      <c r="F21" s="201" t="s">
        <v>176</v>
      </c>
      <c r="G21" s="206" t="s">
        <v>191</v>
      </c>
      <c r="H21" s="689" t="s">
        <v>465</v>
      </c>
      <c r="I21" s="683" t="s">
        <v>259</v>
      </c>
      <c r="J21" s="371"/>
      <c r="K21" s="371"/>
      <c r="L21" s="371"/>
      <c r="M21" s="371"/>
      <c r="N21" s="371"/>
      <c r="O21" s="371"/>
      <c r="P21" s="371"/>
      <c r="Q21" s="371"/>
      <c r="R21" s="371"/>
      <c r="S21" s="371"/>
      <c r="T21" s="371"/>
      <c r="U21" s="371"/>
      <c r="V21" s="371"/>
    </row>
    <row r="22" spans="1:49" ht="15" customHeight="1" thickBot="1" x14ac:dyDescent="0.25">
      <c r="A22" s="3"/>
      <c r="B22" s="3"/>
      <c r="C22" s="3"/>
      <c r="D22" s="207">
        <v>30</v>
      </c>
      <c r="E22" s="208">
        <v>-35</v>
      </c>
      <c r="F22" s="209">
        <v>23</v>
      </c>
      <c r="G22" s="210">
        <v>114</v>
      </c>
      <c r="H22" s="690">
        <f>HLOOKUP($G$22,$Y$26:$AN$37,MATCH($D$22,$W$26:$W$37,0)+MATCH($E$22,$X$29:$X$31,0)-1,0)</f>
        <v>23.2</v>
      </c>
      <c r="I22" s="172">
        <f>H22*F22</f>
        <v>533.6</v>
      </c>
      <c r="J22" s="175"/>
      <c r="K22" s="175"/>
      <c r="L22" s="175"/>
      <c r="M22" s="175"/>
      <c r="N22" s="175"/>
      <c r="O22" s="175"/>
      <c r="P22" s="175"/>
      <c r="Q22" s="175"/>
      <c r="R22" s="175"/>
      <c r="S22" s="175"/>
      <c r="T22" s="175"/>
      <c r="U22" s="175"/>
      <c r="V22" s="175"/>
      <c r="AC22" s="4"/>
      <c r="AD22" s="4"/>
    </row>
    <row r="23" spans="1:49" ht="12.45" customHeight="1" thickBot="1" x14ac:dyDescent="0.25">
      <c r="A23" s="3"/>
      <c r="B23" s="3"/>
      <c r="C23" s="3"/>
      <c r="D23" s="3"/>
      <c r="E23" s="3"/>
      <c r="F23" s="3"/>
      <c r="G23" s="3"/>
      <c r="H23" s="3"/>
      <c r="I23" s="211"/>
      <c r="J23" s="373"/>
      <c r="K23" s="373"/>
      <c r="L23" s="373"/>
      <c r="M23" s="211"/>
      <c r="N23" s="211"/>
      <c r="O23" s="211"/>
      <c r="P23" s="211"/>
      <c r="Q23" s="211"/>
      <c r="R23" s="211"/>
      <c r="S23" s="211"/>
      <c r="T23" s="211"/>
      <c r="U23" s="211"/>
      <c r="V23" s="211"/>
      <c r="W23" s="175"/>
      <c r="X23" s="4"/>
      <c r="Y23" s="4"/>
      <c r="Z23" s="4"/>
      <c r="AA23" s="4"/>
      <c r="AB23" s="4"/>
      <c r="AC23" s="4"/>
      <c r="AD23" s="4"/>
    </row>
    <row r="24" spans="1:49" ht="15" customHeight="1" x14ac:dyDescent="0.2">
      <c r="A24" s="3"/>
      <c r="B24" s="66" t="s">
        <v>438</v>
      </c>
      <c r="C24" s="66" t="s">
        <v>439</v>
      </c>
      <c r="D24" s="3"/>
      <c r="E24" s="3"/>
      <c r="F24" s="3"/>
      <c r="G24" s="3"/>
      <c r="H24" s="3"/>
      <c r="I24" s="3"/>
      <c r="J24" s="59"/>
      <c r="K24" s="59"/>
      <c r="L24" s="59"/>
      <c r="M24" s="3"/>
      <c r="N24" s="3"/>
      <c r="O24" s="3"/>
      <c r="P24" s="3"/>
      <c r="Q24" s="3"/>
      <c r="R24" s="3"/>
      <c r="S24" s="3"/>
      <c r="T24" s="3"/>
      <c r="U24" s="3"/>
      <c r="V24" s="3"/>
      <c r="W24" s="842" t="s">
        <v>275</v>
      </c>
      <c r="X24" s="829" t="s">
        <v>166</v>
      </c>
      <c r="Y24" s="830"/>
      <c r="Z24" s="830"/>
      <c r="AA24" s="830"/>
      <c r="AB24" s="830"/>
      <c r="AC24" s="830"/>
      <c r="AD24" s="830"/>
      <c r="AE24" s="830"/>
      <c r="AF24" s="830"/>
      <c r="AG24" s="830"/>
      <c r="AH24" s="830"/>
      <c r="AI24" s="830"/>
      <c r="AJ24" s="830"/>
      <c r="AK24" s="830"/>
      <c r="AL24" s="830"/>
      <c r="AM24" s="830"/>
      <c r="AN24" s="831"/>
    </row>
    <row r="25" spans="1:49" ht="20.25" customHeight="1" thickBot="1" x14ac:dyDescent="0.45">
      <c r="A25" s="778" t="s">
        <v>47</v>
      </c>
      <c r="B25" s="779"/>
      <c r="C25" s="779"/>
      <c r="D25" s="779"/>
      <c r="E25" s="779"/>
      <c r="F25" s="779"/>
      <c r="G25" s="779"/>
      <c r="H25" s="4"/>
      <c r="I25" s="4"/>
      <c r="J25" s="46"/>
      <c r="K25" s="46"/>
      <c r="L25" s="46"/>
      <c r="M25" s="4"/>
      <c r="N25" s="4"/>
      <c r="O25" s="4"/>
      <c r="P25" s="4"/>
      <c r="Q25" s="4"/>
      <c r="R25" s="4"/>
      <c r="S25" s="4"/>
      <c r="T25" s="4"/>
      <c r="U25" s="4"/>
      <c r="V25" s="4"/>
      <c r="W25" s="842"/>
      <c r="X25" s="231" t="s">
        <v>231</v>
      </c>
      <c r="Y25" s="222" t="s">
        <v>224</v>
      </c>
      <c r="Z25" s="222" t="s">
        <v>225</v>
      </c>
      <c r="AA25" s="222">
        <v>1</v>
      </c>
      <c r="AB25" s="222" t="s">
        <v>226</v>
      </c>
      <c r="AC25" s="222" t="s">
        <v>227</v>
      </c>
      <c r="AD25" s="222">
        <v>2</v>
      </c>
      <c r="AE25" s="222" t="s">
        <v>228</v>
      </c>
      <c r="AF25" s="222">
        <v>3</v>
      </c>
      <c r="AG25" s="222" t="s">
        <v>229</v>
      </c>
      <c r="AH25" s="222">
        <v>4</v>
      </c>
      <c r="AI25" s="222" t="s">
        <v>230</v>
      </c>
      <c r="AJ25" s="222">
        <v>5</v>
      </c>
      <c r="AK25" s="222">
        <v>6</v>
      </c>
      <c r="AL25" s="222">
        <v>8</v>
      </c>
      <c r="AM25" s="222">
        <v>10</v>
      </c>
      <c r="AN25" s="232">
        <v>12</v>
      </c>
    </row>
    <row r="26" spans="1:49" ht="21" customHeight="1" thickBot="1" x14ac:dyDescent="0.25">
      <c r="A26" s="693" t="s">
        <v>1</v>
      </c>
      <c r="B26" s="847" t="s">
        <v>3</v>
      </c>
      <c r="C26" s="847" t="s">
        <v>4</v>
      </c>
      <c r="D26" s="847" t="s">
        <v>5</v>
      </c>
      <c r="E26" s="847" t="s">
        <v>6</v>
      </c>
      <c r="F26" s="693" t="s">
        <v>7</v>
      </c>
      <c r="G26" s="693" t="s">
        <v>9</v>
      </c>
      <c r="H26" s="4"/>
      <c r="I26" s="4"/>
      <c r="J26" s="46"/>
      <c r="K26" s="46"/>
      <c r="L26" s="46"/>
      <c r="M26" s="4"/>
      <c r="N26" s="4"/>
      <c r="O26" s="4"/>
      <c r="P26" s="4"/>
      <c r="Q26" s="4"/>
      <c r="R26" s="4"/>
      <c r="S26" s="4"/>
      <c r="T26" s="4"/>
      <c r="U26" s="4"/>
      <c r="V26" s="4"/>
      <c r="W26" s="842"/>
      <c r="X26" s="233" t="s">
        <v>197</v>
      </c>
      <c r="Y26" s="223">
        <v>21</v>
      </c>
      <c r="Z26" s="223">
        <v>27</v>
      </c>
      <c r="AA26" s="223">
        <v>34</v>
      </c>
      <c r="AB26" s="223">
        <v>42</v>
      </c>
      <c r="AC26" s="223">
        <v>48</v>
      </c>
      <c r="AD26" s="223">
        <v>60</v>
      </c>
      <c r="AE26" s="223">
        <v>73</v>
      </c>
      <c r="AF26" s="223">
        <v>89</v>
      </c>
      <c r="AG26" s="223">
        <v>102</v>
      </c>
      <c r="AH26" s="223">
        <v>114</v>
      </c>
      <c r="AI26" s="223">
        <v>127</v>
      </c>
      <c r="AJ26" s="223">
        <v>141</v>
      </c>
      <c r="AK26" s="223">
        <v>168</v>
      </c>
      <c r="AL26" s="223">
        <v>219</v>
      </c>
      <c r="AM26" s="223">
        <v>273</v>
      </c>
      <c r="AN26" s="224">
        <v>324</v>
      </c>
    </row>
    <row r="27" spans="1:49" ht="27.75" customHeight="1" thickBot="1" x14ac:dyDescent="0.25">
      <c r="A27" s="694" t="s">
        <v>2</v>
      </c>
      <c r="B27" s="848"/>
      <c r="C27" s="848"/>
      <c r="D27" s="848"/>
      <c r="E27" s="848"/>
      <c r="F27" s="694" t="s">
        <v>8</v>
      </c>
      <c r="G27" s="694" t="s">
        <v>8</v>
      </c>
      <c r="H27" s="4"/>
      <c r="I27" s="69" t="s">
        <v>139</v>
      </c>
      <c r="J27" s="69"/>
      <c r="K27" s="69"/>
      <c r="L27" s="69"/>
      <c r="M27" s="69"/>
      <c r="N27" s="69"/>
      <c r="O27" s="69"/>
      <c r="P27" s="69"/>
      <c r="Q27" s="69"/>
      <c r="R27" s="69"/>
      <c r="S27" s="69"/>
      <c r="T27" s="69"/>
      <c r="U27" s="69"/>
      <c r="V27" s="69"/>
      <c r="W27" s="843"/>
      <c r="X27" s="258" t="s">
        <v>196</v>
      </c>
      <c r="Y27" s="227">
        <v>15</v>
      </c>
      <c r="Z27" s="227">
        <v>20</v>
      </c>
      <c r="AA27" s="227">
        <v>25</v>
      </c>
      <c r="AB27" s="227">
        <v>32</v>
      </c>
      <c r="AC27" s="227">
        <v>40</v>
      </c>
      <c r="AD27" s="227">
        <v>50</v>
      </c>
      <c r="AE27" s="227">
        <v>65</v>
      </c>
      <c r="AF27" s="227">
        <v>80</v>
      </c>
      <c r="AG27" s="227">
        <v>90</v>
      </c>
      <c r="AH27" s="227">
        <v>100</v>
      </c>
      <c r="AI27" s="227">
        <v>115</v>
      </c>
      <c r="AJ27" s="227">
        <v>125</v>
      </c>
      <c r="AK27" s="227">
        <v>150</v>
      </c>
      <c r="AL27" s="227">
        <v>200</v>
      </c>
      <c r="AM27" s="227">
        <v>250</v>
      </c>
      <c r="AN27" s="228">
        <v>300</v>
      </c>
    </row>
    <row r="28" spans="1:49" ht="16.05" customHeight="1" thickBot="1" x14ac:dyDescent="0.25">
      <c r="A28" s="650" t="s">
        <v>192</v>
      </c>
      <c r="B28" s="651"/>
      <c r="C28" s="651"/>
      <c r="D28" s="651"/>
      <c r="E28" s="687"/>
      <c r="F28" s="687"/>
      <c r="G28" s="180"/>
      <c r="H28" s="684">
        <f>SUM(H29:H36)</f>
        <v>0</v>
      </c>
      <c r="I28" s="27" t="s">
        <v>140</v>
      </c>
      <c r="J28" s="27"/>
      <c r="K28" s="27"/>
      <c r="L28" s="27"/>
      <c r="M28" s="27"/>
      <c r="N28" s="27"/>
      <c r="O28" s="27"/>
      <c r="P28" s="27"/>
      <c r="Q28" s="27"/>
      <c r="R28" s="27"/>
      <c r="S28" s="27"/>
      <c r="T28" s="27"/>
      <c r="U28" s="27"/>
      <c r="V28" s="27"/>
      <c r="W28" s="277" t="s">
        <v>195</v>
      </c>
      <c r="X28" s="284" t="s">
        <v>223</v>
      </c>
      <c r="Y28" s="849" t="s">
        <v>254</v>
      </c>
      <c r="Z28" s="850"/>
      <c r="AA28" s="850"/>
      <c r="AB28" s="850"/>
      <c r="AC28" s="850"/>
      <c r="AD28" s="850"/>
      <c r="AE28" s="850"/>
      <c r="AF28" s="850"/>
      <c r="AG28" s="850"/>
      <c r="AH28" s="850"/>
      <c r="AI28" s="850"/>
      <c r="AJ28" s="850"/>
      <c r="AK28" s="850"/>
      <c r="AL28" s="850"/>
      <c r="AM28" s="850"/>
      <c r="AN28" s="851"/>
      <c r="AW28" s="115"/>
    </row>
    <row r="29" spans="1:49" ht="16.05" customHeight="1" x14ac:dyDescent="0.2">
      <c r="A29" s="177"/>
      <c r="B29" s="178">
        <v>150211</v>
      </c>
      <c r="C29" s="574" t="s">
        <v>83</v>
      </c>
      <c r="D29" s="178" t="s">
        <v>90</v>
      </c>
      <c r="E29" s="170">
        <f>IF(E14="x",HLOOKUP($G$22,$Y$42:$AN$53,MATCH($D$22,$W$42:$W$53,0)+MATCH($E$22,$X$45:$X$47,0)-1,0),0)</f>
        <v>0</v>
      </c>
      <c r="F29" s="685">
        <v>6</v>
      </c>
      <c r="G29" s="189">
        <f t="shared" ref="G29:G36" si="0">E29*F29</f>
        <v>0</v>
      </c>
      <c r="H29" s="368">
        <f t="shared" ref="H29:H36" si="1">E29</f>
        <v>0</v>
      </c>
      <c r="I29" s="187">
        <f>E29*11</f>
        <v>0</v>
      </c>
      <c r="J29" s="187"/>
      <c r="K29" s="187"/>
      <c r="L29" s="187"/>
      <c r="M29" s="187"/>
      <c r="N29" s="187"/>
      <c r="O29" s="187"/>
      <c r="P29" s="187"/>
      <c r="Q29" s="187"/>
      <c r="R29" s="187"/>
      <c r="S29" s="187"/>
      <c r="T29" s="187"/>
      <c r="U29" s="187"/>
      <c r="V29" s="187"/>
      <c r="W29" s="278">
        <v>20</v>
      </c>
      <c r="X29" s="285">
        <v>-20</v>
      </c>
      <c r="Y29" s="281">
        <v>7.7</v>
      </c>
      <c r="Z29" s="266">
        <v>9</v>
      </c>
      <c r="AA29" s="266">
        <v>10.5</v>
      </c>
      <c r="AB29" s="266">
        <v>12.2</v>
      </c>
      <c r="AC29" s="266">
        <v>13.5</v>
      </c>
      <c r="AD29" s="266">
        <v>16</v>
      </c>
      <c r="AE29" s="266">
        <v>18.7</v>
      </c>
      <c r="AF29" s="266">
        <v>22</v>
      </c>
      <c r="AG29" s="266">
        <v>24.7</v>
      </c>
      <c r="AH29" s="266">
        <v>27.1</v>
      </c>
      <c r="AI29" s="266">
        <v>30</v>
      </c>
      <c r="AJ29" s="266">
        <v>33</v>
      </c>
      <c r="AK29" s="266">
        <v>38</v>
      </c>
      <c r="AL29" s="266">
        <v>49</v>
      </c>
      <c r="AM29" s="266">
        <v>60</v>
      </c>
      <c r="AN29" s="267">
        <v>70</v>
      </c>
      <c r="AU29" s="247">
        <f>E29</f>
        <v>0</v>
      </c>
      <c r="AV29" s="254">
        <f>AU29</f>
        <v>0</v>
      </c>
      <c r="AW29" s="115"/>
    </row>
    <row r="30" spans="1:49" ht="16.05" customHeight="1" x14ac:dyDescent="0.2">
      <c r="A30" s="121"/>
      <c r="B30" s="117">
        <v>150217</v>
      </c>
      <c r="C30" s="120" t="s">
        <v>84</v>
      </c>
      <c r="D30" s="116" t="s">
        <v>90</v>
      </c>
      <c r="E30" s="162">
        <f>IF(E15="x",HLOOKUP($G$22,$Y$59:$AN$70,MATCH($D$22,$W$59:$W$70,0)+MATCH($E$22,$X$62:$X$64,0)-1,0),0)</f>
        <v>0</v>
      </c>
      <c r="F30" s="635">
        <v>6</v>
      </c>
      <c r="G30" s="191">
        <f t="shared" si="0"/>
        <v>0</v>
      </c>
      <c r="H30" s="368">
        <f t="shared" si="1"/>
        <v>0</v>
      </c>
      <c r="I30" s="187">
        <f>E30*17</f>
        <v>0</v>
      </c>
      <c r="J30" s="187"/>
      <c r="K30" s="187"/>
      <c r="L30" s="187"/>
      <c r="M30" s="187"/>
      <c r="N30" s="187"/>
      <c r="O30" s="187"/>
      <c r="P30" s="187"/>
      <c r="Q30" s="187"/>
      <c r="R30" s="187"/>
      <c r="S30" s="187"/>
      <c r="T30" s="187"/>
      <c r="U30" s="187"/>
      <c r="V30" s="187"/>
      <c r="W30" s="263">
        <v>20</v>
      </c>
      <c r="X30" s="286">
        <v>-25</v>
      </c>
      <c r="Y30" s="282">
        <v>9.1999999999999993</v>
      </c>
      <c r="Z30" s="259">
        <v>10.8</v>
      </c>
      <c r="AA30" s="259">
        <v>12.6</v>
      </c>
      <c r="AB30" s="259">
        <v>14.6</v>
      </c>
      <c r="AC30" s="259">
        <v>16.2</v>
      </c>
      <c r="AD30" s="259">
        <v>19.2</v>
      </c>
      <c r="AE30" s="259">
        <v>22.4</v>
      </c>
      <c r="AF30" s="259">
        <v>26.4</v>
      </c>
      <c r="AG30" s="259">
        <v>30</v>
      </c>
      <c r="AH30" s="259">
        <v>33</v>
      </c>
      <c r="AI30" s="259">
        <v>36</v>
      </c>
      <c r="AJ30" s="259">
        <v>39</v>
      </c>
      <c r="AK30" s="259">
        <v>46</v>
      </c>
      <c r="AL30" s="259">
        <v>58</v>
      </c>
      <c r="AM30" s="259">
        <v>72</v>
      </c>
      <c r="AN30" s="260">
        <v>84</v>
      </c>
      <c r="AU30" s="247">
        <f t="shared" ref="AU30:AU36" si="2">E30</f>
        <v>0</v>
      </c>
      <c r="AV30" s="254">
        <f t="shared" ref="AV30:AV36" si="3">AU30</f>
        <v>0</v>
      </c>
    </row>
    <row r="31" spans="1:49" ht="16.05" customHeight="1" thickBot="1" x14ac:dyDescent="0.25">
      <c r="A31" s="121"/>
      <c r="B31" s="119">
        <v>151020</v>
      </c>
      <c r="C31" s="120" t="s">
        <v>42</v>
      </c>
      <c r="D31" s="116" t="s">
        <v>90</v>
      </c>
      <c r="E31" s="162"/>
      <c r="F31" s="635">
        <v>7</v>
      </c>
      <c r="G31" s="191">
        <f t="shared" si="0"/>
        <v>0</v>
      </c>
      <c r="H31" s="368">
        <f t="shared" si="1"/>
        <v>0</v>
      </c>
      <c r="I31" s="187">
        <f>E31*20</f>
        <v>0</v>
      </c>
      <c r="J31" s="187"/>
      <c r="K31" s="187"/>
      <c r="L31" s="187"/>
      <c r="M31" s="187"/>
      <c r="N31" s="187"/>
      <c r="O31" s="187"/>
      <c r="P31" s="187"/>
      <c r="Q31" s="187"/>
      <c r="R31" s="187"/>
      <c r="S31" s="187"/>
      <c r="T31" s="187"/>
      <c r="U31" s="187"/>
      <c r="V31" s="187"/>
      <c r="W31" s="279">
        <v>20</v>
      </c>
      <c r="X31" s="287">
        <v>-35</v>
      </c>
      <c r="Y31" s="283">
        <v>12.2</v>
      </c>
      <c r="Z31" s="261">
        <v>14.4</v>
      </c>
      <c r="AA31" s="261">
        <v>16.8</v>
      </c>
      <c r="AB31" s="261">
        <v>19.5</v>
      </c>
      <c r="AC31" s="261">
        <v>21.6</v>
      </c>
      <c r="AD31" s="261">
        <v>25.6</v>
      </c>
      <c r="AE31" s="261">
        <v>30</v>
      </c>
      <c r="AF31" s="261">
        <v>35</v>
      </c>
      <c r="AG31" s="261">
        <v>39</v>
      </c>
      <c r="AH31" s="261">
        <v>43</v>
      </c>
      <c r="AI31" s="261">
        <v>48</v>
      </c>
      <c r="AJ31" s="261">
        <v>52</v>
      </c>
      <c r="AK31" s="261">
        <v>61</v>
      </c>
      <c r="AL31" s="261">
        <v>78</v>
      </c>
      <c r="AM31" s="261">
        <v>96</v>
      </c>
      <c r="AN31" s="262">
        <v>112</v>
      </c>
      <c r="AU31" s="247">
        <f t="shared" si="2"/>
        <v>0</v>
      </c>
      <c r="AV31" s="254">
        <f t="shared" si="3"/>
        <v>0</v>
      </c>
    </row>
    <row r="32" spans="1:49" ht="16.05" customHeight="1" x14ac:dyDescent="0.2">
      <c r="A32" s="121"/>
      <c r="B32" s="119">
        <v>159000</v>
      </c>
      <c r="C32" s="120" t="s">
        <v>85</v>
      </c>
      <c r="D32" s="116" t="s">
        <v>90</v>
      </c>
      <c r="E32" s="162"/>
      <c r="F32" s="635">
        <v>7</v>
      </c>
      <c r="G32" s="191">
        <f t="shared" si="0"/>
        <v>0</v>
      </c>
      <c r="H32" s="368">
        <f t="shared" si="1"/>
        <v>0</v>
      </c>
      <c r="I32" s="187">
        <f>E32*10</f>
        <v>0</v>
      </c>
      <c r="J32" s="187"/>
      <c r="K32" s="187"/>
      <c r="L32" s="187"/>
      <c r="M32" s="187"/>
      <c r="N32" s="187"/>
      <c r="O32" s="187"/>
      <c r="P32" s="187"/>
      <c r="Q32" s="187"/>
      <c r="R32" s="187"/>
      <c r="S32" s="187"/>
      <c r="T32" s="187"/>
      <c r="U32" s="187"/>
      <c r="V32" s="187"/>
      <c r="W32" s="278">
        <v>30</v>
      </c>
      <c r="X32" s="285">
        <v>-20</v>
      </c>
      <c r="Y32" s="281">
        <v>6</v>
      </c>
      <c r="Z32" s="266">
        <v>7</v>
      </c>
      <c r="AA32" s="266">
        <v>8</v>
      </c>
      <c r="AB32" s="266">
        <v>9.1999999999999993</v>
      </c>
      <c r="AC32" s="266">
        <v>10.1</v>
      </c>
      <c r="AD32" s="266">
        <v>11.8</v>
      </c>
      <c r="AE32" s="266">
        <v>13.6</v>
      </c>
      <c r="AF32" s="266">
        <v>15.8</v>
      </c>
      <c r="AG32" s="266">
        <v>17.600000000000001</v>
      </c>
      <c r="AH32" s="266">
        <v>19.3</v>
      </c>
      <c r="AI32" s="266">
        <v>21.1</v>
      </c>
      <c r="AJ32" s="266">
        <v>23</v>
      </c>
      <c r="AK32" s="266">
        <v>26.7</v>
      </c>
      <c r="AL32" s="266">
        <v>34</v>
      </c>
      <c r="AM32" s="266">
        <v>41</v>
      </c>
      <c r="AN32" s="267">
        <v>48</v>
      </c>
      <c r="AQ32" s="49"/>
      <c r="AU32" s="247">
        <f t="shared" si="2"/>
        <v>0</v>
      </c>
      <c r="AV32" s="254">
        <f t="shared" si="3"/>
        <v>0</v>
      </c>
    </row>
    <row r="33" spans="1:60" ht="16.05" customHeight="1" x14ac:dyDescent="0.2">
      <c r="A33" s="121"/>
      <c r="B33" s="119">
        <v>159555</v>
      </c>
      <c r="C33" s="120" t="s">
        <v>86</v>
      </c>
      <c r="D33" s="116" t="s">
        <v>90</v>
      </c>
      <c r="E33" s="162"/>
      <c r="F33" s="635">
        <v>8</v>
      </c>
      <c r="G33" s="191">
        <f t="shared" si="0"/>
        <v>0</v>
      </c>
      <c r="H33" s="368">
        <f t="shared" si="1"/>
        <v>0</v>
      </c>
      <c r="I33" s="187">
        <f>E33*9</f>
        <v>0</v>
      </c>
      <c r="J33" s="187"/>
      <c r="K33" s="187"/>
      <c r="L33" s="187"/>
      <c r="M33" s="187"/>
      <c r="N33" s="187"/>
      <c r="O33" s="187"/>
      <c r="P33" s="187"/>
      <c r="Q33" s="187"/>
      <c r="R33" s="187"/>
      <c r="S33" s="187"/>
      <c r="T33" s="187"/>
      <c r="U33" s="187"/>
      <c r="V33" s="187"/>
      <c r="W33" s="263">
        <v>30</v>
      </c>
      <c r="X33" s="286">
        <v>-25</v>
      </c>
      <c r="Y33" s="282">
        <v>6</v>
      </c>
      <c r="Z33" s="259">
        <v>7</v>
      </c>
      <c r="AA33" s="259">
        <v>8</v>
      </c>
      <c r="AB33" s="259">
        <v>9.1999999999999993</v>
      </c>
      <c r="AC33" s="259">
        <v>10.1</v>
      </c>
      <c r="AD33" s="259">
        <v>11.8</v>
      </c>
      <c r="AE33" s="259">
        <v>13.6</v>
      </c>
      <c r="AF33" s="259">
        <v>15.8</v>
      </c>
      <c r="AG33" s="259">
        <v>17.600000000000001</v>
      </c>
      <c r="AH33" s="259">
        <v>19.3</v>
      </c>
      <c r="AI33" s="259">
        <v>21.1</v>
      </c>
      <c r="AJ33" s="259">
        <v>23</v>
      </c>
      <c r="AK33" s="259">
        <v>26.7</v>
      </c>
      <c r="AL33" s="259">
        <v>34</v>
      </c>
      <c r="AM33" s="259">
        <v>41</v>
      </c>
      <c r="AN33" s="260">
        <v>48</v>
      </c>
      <c r="AU33" s="247">
        <f t="shared" si="2"/>
        <v>0</v>
      </c>
      <c r="AV33" s="254">
        <f t="shared" si="3"/>
        <v>0</v>
      </c>
      <c r="AZ33" s="49"/>
    </row>
    <row r="34" spans="1:60" ht="16.05" customHeight="1" thickBot="1" x14ac:dyDescent="0.25">
      <c r="A34" s="121"/>
      <c r="B34" s="119">
        <v>159565</v>
      </c>
      <c r="C34" s="120" t="s">
        <v>87</v>
      </c>
      <c r="D34" s="116" t="s">
        <v>90</v>
      </c>
      <c r="E34" s="162"/>
      <c r="F34" s="635">
        <v>8</v>
      </c>
      <c r="G34" s="191">
        <f t="shared" si="0"/>
        <v>0</v>
      </c>
      <c r="H34" s="368">
        <f t="shared" si="1"/>
        <v>0</v>
      </c>
      <c r="I34" s="187">
        <f>E34*12</f>
        <v>0</v>
      </c>
      <c r="J34" s="187"/>
      <c r="K34" s="187"/>
      <c r="L34" s="187"/>
      <c r="M34" s="187"/>
      <c r="N34" s="187"/>
      <c r="O34" s="187"/>
      <c r="P34" s="187"/>
      <c r="Q34" s="187"/>
      <c r="R34" s="187"/>
      <c r="S34" s="187"/>
      <c r="T34" s="187"/>
      <c r="U34" s="187"/>
      <c r="V34" s="187"/>
      <c r="W34" s="279">
        <v>30</v>
      </c>
      <c r="X34" s="287">
        <v>-35</v>
      </c>
      <c r="Y34" s="283">
        <v>7.3</v>
      </c>
      <c r="Z34" s="261">
        <v>8.4</v>
      </c>
      <c r="AA34" s="261">
        <v>9.6</v>
      </c>
      <c r="AB34" s="261">
        <v>11</v>
      </c>
      <c r="AC34" s="261">
        <v>12.1</v>
      </c>
      <c r="AD34" s="261">
        <v>14.1</v>
      </c>
      <c r="AE34" s="261">
        <v>16.3</v>
      </c>
      <c r="AF34" s="261">
        <v>19</v>
      </c>
      <c r="AG34" s="261">
        <v>21.2</v>
      </c>
      <c r="AH34" s="261">
        <v>23.2</v>
      </c>
      <c r="AI34" s="261">
        <v>25.3</v>
      </c>
      <c r="AJ34" s="261">
        <v>27.6</v>
      </c>
      <c r="AK34" s="261">
        <v>32</v>
      </c>
      <c r="AL34" s="261">
        <v>40</v>
      </c>
      <c r="AM34" s="261">
        <v>49</v>
      </c>
      <c r="AN34" s="262">
        <v>58</v>
      </c>
      <c r="AU34" s="247">
        <f t="shared" si="2"/>
        <v>0</v>
      </c>
      <c r="AV34" s="254">
        <f t="shared" si="3"/>
        <v>0</v>
      </c>
      <c r="AZ34" s="147"/>
      <c r="BF34" s="95"/>
      <c r="BG34" s="95"/>
      <c r="BH34" s="95"/>
    </row>
    <row r="35" spans="1:60" ht="16.05" customHeight="1" x14ac:dyDescent="0.2">
      <c r="A35" s="121"/>
      <c r="B35" s="119">
        <v>151025</v>
      </c>
      <c r="C35" s="120" t="s">
        <v>88</v>
      </c>
      <c r="D35" s="116" t="s">
        <v>90</v>
      </c>
      <c r="E35" s="162"/>
      <c r="F35" s="635">
        <v>7</v>
      </c>
      <c r="G35" s="191">
        <f t="shared" si="0"/>
        <v>0</v>
      </c>
      <c r="H35" s="368">
        <f t="shared" si="1"/>
        <v>0</v>
      </c>
      <c r="I35" s="187">
        <f>E35*25</f>
        <v>0</v>
      </c>
      <c r="J35" s="187"/>
      <c r="K35" s="187"/>
      <c r="L35" s="187"/>
      <c r="M35" s="187"/>
      <c r="N35" s="187"/>
      <c r="O35" s="187"/>
      <c r="P35" s="187"/>
      <c r="Q35" s="187"/>
      <c r="R35" s="187"/>
      <c r="S35" s="187"/>
      <c r="T35" s="187"/>
      <c r="U35" s="187"/>
      <c r="V35" s="187"/>
      <c r="W35" s="278">
        <v>50</v>
      </c>
      <c r="X35" s="285">
        <v>-20</v>
      </c>
      <c r="Y35" s="281">
        <v>4.7</v>
      </c>
      <c r="Z35" s="266">
        <v>5.3</v>
      </c>
      <c r="AA35" s="266">
        <v>6</v>
      </c>
      <c r="AB35" s="266">
        <v>6.7</v>
      </c>
      <c r="AC35" s="266">
        <v>7.3</v>
      </c>
      <c r="AD35" s="266">
        <v>8.3000000000000007</v>
      </c>
      <c r="AE35" s="266">
        <v>9.5</v>
      </c>
      <c r="AF35" s="266">
        <v>10.8</v>
      </c>
      <c r="AG35" s="266">
        <v>11.9</v>
      </c>
      <c r="AH35" s="266">
        <v>13</v>
      </c>
      <c r="AI35" s="266">
        <v>14.1</v>
      </c>
      <c r="AJ35" s="266">
        <v>15.2</v>
      </c>
      <c r="AK35" s="266">
        <v>17.5</v>
      </c>
      <c r="AL35" s="266">
        <v>21.7</v>
      </c>
      <c r="AM35" s="266">
        <v>26.2</v>
      </c>
      <c r="AN35" s="267">
        <v>30.4</v>
      </c>
      <c r="AU35" s="247">
        <f t="shared" si="2"/>
        <v>0</v>
      </c>
      <c r="AV35" s="254">
        <f t="shared" si="3"/>
        <v>0</v>
      </c>
      <c r="AZ35" s="49"/>
    </row>
    <row r="36" spans="1:60" ht="16.05" customHeight="1" thickBot="1" x14ac:dyDescent="0.25">
      <c r="A36" s="181"/>
      <c r="B36" s="182">
        <v>151033</v>
      </c>
      <c r="C36" s="183" t="s">
        <v>89</v>
      </c>
      <c r="D36" s="184" t="s">
        <v>90</v>
      </c>
      <c r="E36" s="165"/>
      <c r="F36" s="686">
        <v>7</v>
      </c>
      <c r="G36" s="194">
        <f t="shared" si="0"/>
        <v>0</v>
      </c>
      <c r="H36" s="368">
        <f t="shared" si="1"/>
        <v>0</v>
      </c>
      <c r="I36" s="187">
        <f>E36*33</f>
        <v>0</v>
      </c>
      <c r="J36" s="187"/>
      <c r="K36" s="187"/>
      <c r="L36" s="187"/>
      <c r="M36" s="187"/>
      <c r="N36" s="187"/>
      <c r="O36" s="187"/>
      <c r="P36" s="187"/>
      <c r="Q36" s="187"/>
      <c r="R36" s="187"/>
      <c r="S36" s="187"/>
      <c r="T36" s="187"/>
      <c r="U36" s="187"/>
      <c r="V36" s="187"/>
      <c r="W36" s="263">
        <v>50</v>
      </c>
      <c r="X36" s="286">
        <v>-25</v>
      </c>
      <c r="Y36" s="282">
        <v>5.6</v>
      </c>
      <c r="Z36" s="259">
        <v>6.3</v>
      </c>
      <c r="AA36" s="259">
        <v>7.1</v>
      </c>
      <c r="AB36" s="259">
        <v>8</v>
      </c>
      <c r="AC36" s="259">
        <v>8.6999999999999993</v>
      </c>
      <c r="AD36" s="259">
        <v>10</v>
      </c>
      <c r="AE36" s="259">
        <v>11.4</v>
      </c>
      <c r="AF36" s="259">
        <v>13</v>
      </c>
      <c r="AG36" s="259">
        <v>14.3</v>
      </c>
      <c r="AH36" s="259">
        <v>15.6</v>
      </c>
      <c r="AI36" s="259">
        <v>16.899999999999999</v>
      </c>
      <c r="AJ36" s="259">
        <v>18.3</v>
      </c>
      <c r="AK36" s="259">
        <v>21</v>
      </c>
      <c r="AL36" s="259">
        <v>26</v>
      </c>
      <c r="AM36" s="259">
        <v>31</v>
      </c>
      <c r="AN36" s="260">
        <v>36</v>
      </c>
      <c r="AU36" s="247">
        <f t="shared" si="2"/>
        <v>0</v>
      </c>
      <c r="AV36" s="254">
        <f t="shared" si="3"/>
        <v>0</v>
      </c>
      <c r="AZ36" s="49"/>
    </row>
    <row r="37" spans="1:60" ht="16.05" customHeight="1" thickBot="1" x14ac:dyDescent="0.25">
      <c r="A37" s="647" t="s">
        <v>466</v>
      </c>
      <c r="B37" s="246"/>
      <c r="C37" s="246"/>
      <c r="D37" s="246"/>
      <c r="E37" s="246"/>
      <c r="F37" s="246"/>
      <c r="G37" s="166"/>
      <c r="H37" s="684">
        <f>SUM(H38:H47)</f>
        <v>0</v>
      </c>
      <c r="I37" s="187"/>
      <c r="J37" s="376" t="s">
        <v>286</v>
      </c>
      <c r="K37" s="377" t="s">
        <v>284</v>
      </c>
      <c r="L37" s="378" t="s">
        <v>285</v>
      </c>
      <c r="M37" s="187"/>
      <c r="N37" s="187"/>
      <c r="O37" s="187"/>
      <c r="P37" s="187"/>
      <c r="Q37" s="187"/>
      <c r="R37" s="187"/>
      <c r="S37" s="187"/>
      <c r="T37" s="187"/>
      <c r="U37" s="187"/>
      <c r="V37" s="187"/>
      <c r="W37" s="280">
        <v>50</v>
      </c>
      <c r="X37" s="287">
        <v>-35</v>
      </c>
      <c r="Y37" s="283">
        <v>7.5</v>
      </c>
      <c r="Z37" s="261">
        <v>8.4</v>
      </c>
      <c r="AA37" s="261">
        <v>9.5</v>
      </c>
      <c r="AB37" s="261">
        <v>10.7</v>
      </c>
      <c r="AC37" s="261">
        <v>11.6</v>
      </c>
      <c r="AD37" s="261">
        <v>13.3</v>
      </c>
      <c r="AE37" s="261">
        <v>15.1</v>
      </c>
      <c r="AF37" s="261">
        <v>17.3</v>
      </c>
      <c r="AG37" s="261">
        <v>19.100000000000001</v>
      </c>
      <c r="AH37" s="261">
        <v>20.7</v>
      </c>
      <c r="AI37" s="261">
        <v>22.5</v>
      </c>
      <c r="AJ37" s="261">
        <v>24.4</v>
      </c>
      <c r="AK37" s="261">
        <v>28</v>
      </c>
      <c r="AL37" s="261">
        <v>35</v>
      </c>
      <c r="AM37" s="261">
        <v>42</v>
      </c>
      <c r="AN37" s="262">
        <v>49</v>
      </c>
      <c r="AU37" s="246"/>
      <c r="AZ37" s="49"/>
    </row>
    <row r="38" spans="1:60" ht="16.05" customHeight="1" x14ac:dyDescent="0.2">
      <c r="A38" s="167"/>
      <c r="B38" s="244">
        <v>220300</v>
      </c>
      <c r="C38" s="169" t="s">
        <v>244</v>
      </c>
      <c r="D38" s="168" t="s">
        <v>10</v>
      </c>
      <c r="E38" s="384" cm="1">
        <f t="array" ref="E38">IF(SUM(J38:L38)=(MIN(IF($J$38:$L$47 &lt;&gt;0,$J$38:$L$47))),SUM(J38:L38),0)</f>
        <v>0</v>
      </c>
      <c r="F38" s="240">
        <v>29</v>
      </c>
      <c r="G38" s="189">
        <f>E38*F38</f>
        <v>0</v>
      </c>
      <c r="H38" s="368">
        <f t="shared" ref="H38:H47" si="4">E38</f>
        <v>0</v>
      </c>
      <c r="I38" s="187">
        <f>J38*300</f>
        <v>0</v>
      </c>
      <c r="J38" s="170">
        <f>IF(AND(E18="x",F22&lt;15,I22&lt;300),1,0)</f>
        <v>0</v>
      </c>
      <c r="K38" s="375">
        <f>IF(AND(E18="x",F22&lt;30,I22&lt;600),2,0)</f>
        <v>0</v>
      </c>
      <c r="L38" s="375">
        <f>IF(AND(E18="x",F22&lt;45,I22&lt;900),3,0)</f>
        <v>0</v>
      </c>
      <c r="M38" s="381"/>
      <c r="N38" s="187"/>
      <c r="O38" s="187"/>
      <c r="P38" s="187"/>
      <c r="Q38" s="187"/>
      <c r="R38" s="187"/>
      <c r="S38" s="187"/>
      <c r="T38" s="187"/>
      <c r="U38" s="187"/>
      <c r="V38" s="187"/>
      <c r="W38" s="61"/>
      <c r="X38" s="63"/>
      <c r="Y38" s="63"/>
      <c r="Z38" s="63"/>
      <c r="AA38" s="63"/>
      <c r="AB38" s="63"/>
      <c r="AC38" s="63"/>
      <c r="AD38" s="63"/>
      <c r="AE38" s="63"/>
      <c r="AF38" s="63"/>
      <c r="AG38" s="63"/>
      <c r="AH38" s="63"/>
      <c r="AI38" s="63"/>
      <c r="AJ38" s="63"/>
      <c r="AK38" s="63"/>
      <c r="AL38" s="63"/>
      <c r="AM38" s="63"/>
      <c r="AN38" s="63"/>
      <c r="AU38" s="248">
        <v>15</v>
      </c>
      <c r="AV38" s="254">
        <f t="shared" ref="AV38:AV64" si="5">AU38*E38</f>
        <v>0</v>
      </c>
      <c r="AZ38" s="49"/>
    </row>
    <row r="39" spans="1:60" ht="16.05" customHeight="1" thickBot="1" x14ac:dyDescent="0.25">
      <c r="A39" s="126"/>
      <c r="B39" s="242">
        <v>220500</v>
      </c>
      <c r="C39" s="123" t="s">
        <v>245</v>
      </c>
      <c r="D39" s="122" t="s">
        <v>10</v>
      </c>
      <c r="E39" s="382" cm="1">
        <f t="array" ref="E39">IF(SUM(J39:L39)=(MIN(IF($J$38:$L$47 &lt;&gt;0,$J$38:$L$47))),SUM(J39:L39),0)</f>
        <v>0</v>
      </c>
      <c r="F39" s="192">
        <v>42</v>
      </c>
      <c r="G39" s="191">
        <f t="shared" ref="G39:G47" si="6">E39*F39</f>
        <v>0</v>
      </c>
      <c r="H39" s="368">
        <f t="shared" si="4"/>
        <v>0</v>
      </c>
      <c r="I39" s="187">
        <f>J39*500</f>
        <v>0</v>
      </c>
      <c r="J39" s="162">
        <f>IF(AND(E18="x",F22&lt;25,I22&lt;500,SUM(J38:J38)&lt;1),1,0)</f>
        <v>0</v>
      </c>
      <c r="K39" s="372">
        <f>IF(AND(E18="x",F22&lt;50,I22&lt;1000,SUM(K38)&lt;1),2,0)</f>
        <v>0</v>
      </c>
      <c r="L39" s="372">
        <f>IF(AND(E18="x",F22&lt;75,I22&lt;1500,SUM(L38)&lt;1),3,0)</f>
        <v>0</v>
      </c>
      <c r="M39" s="187"/>
      <c r="N39" s="187"/>
      <c r="O39" s="187"/>
      <c r="P39" s="187"/>
      <c r="Q39" s="187"/>
      <c r="R39" s="187"/>
      <c r="S39" s="187"/>
      <c r="T39" s="187"/>
      <c r="U39" s="187"/>
      <c r="V39" s="187"/>
      <c r="W39" s="61"/>
      <c r="X39" s="852" t="s">
        <v>273</v>
      </c>
      <c r="Y39" s="853"/>
      <c r="Z39" s="853"/>
      <c r="AA39" s="853"/>
      <c r="AB39" s="853"/>
      <c r="AC39" s="853"/>
      <c r="AD39" s="853"/>
      <c r="AE39" s="853"/>
      <c r="AF39" s="853"/>
      <c r="AG39" s="853"/>
      <c r="AH39" s="853"/>
      <c r="AI39" s="853"/>
      <c r="AJ39" s="853"/>
      <c r="AK39" s="853"/>
      <c r="AL39" s="853"/>
      <c r="AM39" s="853"/>
      <c r="AN39" s="853"/>
      <c r="AU39" s="249">
        <v>25</v>
      </c>
      <c r="AV39" s="254">
        <f t="shared" si="5"/>
        <v>0</v>
      </c>
      <c r="AZ39" s="49"/>
    </row>
    <row r="40" spans="1:60" ht="16.05" customHeight="1" x14ac:dyDescent="0.2">
      <c r="A40" s="126"/>
      <c r="B40" s="242">
        <v>221000</v>
      </c>
      <c r="C40" s="123" t="s">
        <v>246</v>
      </c>
      <c r="D40" s="122" t="s">
        <v>10</v>
      </c>
      <c r="E40" s="382" cm="1">
        <f t="array" ref="E40">IF(SUM(J40:L40)=(MIN(IF($J$38:$L$47 &lt;&gt;0,$J$38:$L$47))),SUM(J40:L40),0)</f>
        <v>0</v>
      </c>
      <c r="F40" s="192">
        <v>85</v>
      </c>
      <c r="G40" s="191">
        <f t="shared" si="6"/>
        <v>0</v>
      </c>
      <c r="H40" s="368">
        <f t="shared" si="4"/>
        <v>0</v>
      </c>
      <c r="I40" s="187">
        <f>J40*1000</f>
        <v>0</v>
      </c>
      <c r="J40" s="162">
        <f>IF(AND(E18="x",F22&lt;50,I22&lt;1000,SUM(J38:J39)&lt;1),1,0)</f>
        <v>0</v>
      </c>
      <c r="K40" s="372">
        <f>IF(AND(E18="x",F22&lt;100,I22&lt;2000,SUM(K38:K39)&lt;1),2,0)</f>
        <v>0</v>
      </c>
      <c r="L40" s="372">
        <f>IF(AND(E18="x",F22&lt;150,I22&lt;3000,SUM(L38:L39)&lt;1),3,0)</f>
        <v>0</v>
      </c>
      <c r="M40" s="187"/>
      <c r="N40" s="187"/>
      <c r="O40" s="187"/>
      <c r="P40" s="187"/>
      <c r="Q40" s="187"/>
      <c r="R40" s="187"/>
      <c r="S40" s="187"/>
      <c r="T40" s="187"/>
      <c r="U40" s="187"/>
      <c r="V40" s="187"/>
      <c r="W40" s="370"/>
      <c r="X40" s="854" t="s">
        <v>166</v>
      </c>
      <c r="Y40" s="855"/>
      <c r="Z40" s="855"/>
      <c r="AA40" s="855"/>
      <c r="AB40" s="855"/>
      <c r="AC40" s="855"/>
      <c r="AD40" s="855"/>
      <c r="AE40" s="855"/>
      <c r="AF40" s="855"/>
      <c r="AG40" s="855"/>
      <c r="AH40" s="855"/>
      <c r="AI40" s="855"/>
      <c r="AJ40" s="855"/>
      <c r="AK40" s="855"/>
      <c r="AL40" s="855"/>
      <c r="AM40" s="855"/>
      <c r="AN40" s="856"/>
      <c r="AU40" s="249">
        <v>50</v>
      </c>
      <c r="AV40" s="254">
        <f t="shared" si="5"/>
        <v>0</v>
      </c>
      <c r="AZ40" s="49"/>
    </row>
    <row r="41" spans="1:60" ht="16.05" customHeight="1" x14ac:dyDescent="0.2">
      <c r="A41" s="126"/>
      <c r="B41" s="242">
        <v>221200</v>
      </c>
      <c r="C41" s="123" t="s">
        <v>248</v>
      </c>
      <c r="D41" s="122" t="s">
        <v>10</v>
      </c>
      <c r="E41" s="382" cm="1">
        <f t="array" ref="E41">IF(SUM(J41:L41)=(MIN(IF($J$38:$L$47 &lt;&gt;0,$J$38:$L$47))),SUM(J41:L41),0)</f>
        <v>0</v>
      </c>
      <c r="F41" s="192">
        <v>104</v>
      </c>
      <c r="G41" s="191">
        <f t="shared" si="6"/>
        <v>0</v>
      </c>
      <c r="H41" s="368">
        <f t="shared" si="4"/>
        <v>0</v>
      </c>
      <c r="I41" s="187">
        <f>J41*1250</f>
        <v>0</v>
      </c>
      <c r="J41" s="162">
        <f>IF(AND(E18="x",F22&lt;60,I22&lt;1200,SUM(J38:J40)&lt;1),1,0)</f>
        <v>0</v>
      </c>
      <c r="K41" s="372">
        <f>IF(AND(E18="x",F22&lt;120,I22&lt;2400,SUM(K38:K40)&lt;1),2,0)</f>
        <v>0</v>
      </c>
      <c r="L41" s="372">
        <f>IF(AND(E18="x",F22&lt;180,I22&lt;3600,SUM(L38:L40)&lt;1),3,0)</f>
        <v>0</v>
      </c>
      <c r="M41" s="187"/>
      <c r="N41" s="187"/>
      <c r="O41" s="187"/>
      <c r="P41" s="187"/>
      <c r="Q41" s="187"/>
      <c r="R41" s="187"/>
      <c r="S41" s="187"/>
      <c r="T41" s="187"/>
      <c r="U41" s="187"/>
      <c r="V41" s="187"/>
      <c r="W41" s="842" t="s">
        <v>276</v>
      </c>
      <c r="X41" s="231" t="s">
        <v>231</v>
      </c>
      <c r="Y41" s="222" t="s">
        <v>224</v>
      </c>
      <c r="Z41" s="222" t="s">
        <v>225</v>
      </c>
      <c r="AA41" s="222">
        <v>1</v>
      </c>
      <c r="AB41" s="222" t="s">
        <v>226</v>
      </c>
      <c r="AC41" s="222" t="s">
        <v>227</v>
      </c>
      <c r="AD41" s="222">
        <v>2</v>
      </c>
      <c r="AE41" s="222" t="s">
        <v>228</v>
      </c>
      <c r="AF41" s="222">
        <v>3</v>
      </c>
      <c r="AG41" s="222" t="s">
        <v>229</v>
      </c>
      <c r="AH41" s="222">
        <v>4</v>
      </c>
      <c r="AI41" s="222" t="s">
        <v>230</v>
      </c>
      <c r="AJ41" s="222">
        <v>5</v>
      </c>
      <c r="AK41" s="222">
        <v>6</v>
      </c>
      <c r="AL41" s="222">
        <v>8</v>
      </c>
      <c r="AM41" s="222">
        <v>10</v>
      </c>
      <c r="AN41" s="232">
        <v>12</v>
      </c>
      <c r="AU41" s="249">
        <v>60</v>
      </c>
      <c r="AV41" s="254">
        <f t="shared" si="5"/>
        <v>0</v>
      </c>
      <c r="AZ41" s="49"/>
    </row>
    <row r="42" spans="1:60" ht="16.05" customHeight="1" x14ac:dyDescent="0.2">
      <c r="A42" s="126"/>
      <c r="B42" s="242">
        <v>221600</v>
      </c>
      <c r="C42" s="123" t="s">
        <v>247</v>
      </c>
      <c r="D42" s="122" t="s">
        <v>10</v>
      </c>
      <c r="E42" s="382" cm="1">
        <f t="array" ref="E42">IF(SUM(J42:L42)=(MIN(IF($J$38:$L$47 &lt;&gt;0,$J$38:$L$47))),SUM(J42:L42),0)</f>
        <v>0</v>
      </c>
      <c r="F42" s="192">
        <v>145</v>
      </c>
      <c r="G42" s="191">
        <f t="shared" si="6"/>
        <v>0</v>
      </c>
      <c r="H42" s="368">
        <f t="shared" si="4"/>
        <v>0</v>
      </c>
      <c r="I42" s="187">
        <f>J42*1500</f>
        <v>0</v>
      </c>
      <c r="J42" s="162">
        <f>IF(AND(E18="x",F22&lt;80,I22&lt;1600,SUM(J38:J41)&lt;1),1,0)</f>
        <v>0</v>
      </c>
      <c r="K42" s="372">
        <f>IF(AND(E18="x",F22&lt;160,I22&lt;3200,SUM(K38:K41)&lt;1),2,0)</f>
        <v>0</v>
      </c>
      <c r="L42" s="372">
        <f>IF(AND(E18="x",F22&lt;240,I22&lt;4800,SUM(L38:L41)&lt;1),3,0)</f>
        <v>0</v>
      </c>
      <c r="M42" s="187"/>
      <c r="N42" s="187"/>
      <c r="O42" s="187"/>
      <c r="P42" s="187"/>
      <c r="Q42" s="187"/>
      <c r="R42" s="187"/>
      <c r="S42" s="187"/>
      <c r="T42" s="187"/>
      <c r="U42" s="187"/>
      <c r="V42" s="187"/>
      <c r="W42" s="842"/>
      <c r="X42" s="233" t="s">
        <v>197</v>
      </c>
      <c r="Y42" s="223">
        <v>21</v>
      </c>
      <c r="Z42" s="223">
        <v>27</v>
      </c>
      <c r="AA42" s="223">
        <v>34</v>
      </c>
      <c r="AB42" s="223">
        <v>42</v>
      </c>
      <c r="AC42" s="223">
        <v>48</v>
      </c>
      <c r="AD42" s="223">
        <v>60</v>
      </c>
      <c r="AE42" s="223">
        <v>73</v>
      </c>
      <c r="AF42" s="223">
        <v>89</v>
      </c>
      <c r="AG42" s="223">
        <v>102</v>
      </c>
      <c r="AH42" s="223">
        <v>114</v>
      </c>
      <c r="AI42" s="223">
        <v>127</v>
      </c>
      <c r="AJ42" s="223">
        <v>141</v>
      </c>
      <c r="AK42" s="223">
        <v>168</v>
      </c>
      <c r="AL42" s="223">
        <v>219</v>
      </c>
      <c r="AM42" s="223">
        <v>273</v>
      </c>
      <c r="AN42" s="224">
        <v>324</v>
      </c>
      <c r="AU42" s="249">
        <v>80</v>
      </c>
      <c r="AV42" s="254">
        <f t="shared" si="5"/>
        <v>0</v>
      </c>
      <c r="AZ42" s="49"/>
    </row>
    <row r="43" spans="1:60" ht="16.05" customHeight="1" x14ac:dyDescent="0.2">
      <c r="A43" s="126"/>
      <c r="B43" s="242">
        <v>221800</v>
      </c>
      <c r="C43" s="123" t="s">
        <v>253</v>
      </c>
      <c r="D43" s="122" t="s">
        <v>10</v>
      </c>
      <c r="E43" s="382" cm="1">
        <f t="array" ref="E43">IF(SUM(J43:L43)=(MIN(IF($J$38:$L$47 &lt;&gt;0,$J$38:$L$47))),SUM(J43:L43),0)</f>
        <v>0</v>
      </c>
      <c r="F43" s="192">
        <v>163</v>
      </c>
      <c r="G43" s="191">
        <f t="shared" si="6"/>
        <v>0</v>
      </c>
      <c r="H43" s="368">
        <f t="shared" si="4"/>
        <v>0</v>
      </c>
      <c r="I43" s="187">
        <f>J43*1800</f>
        <v>0</v>
      </c>
      <c r="J43" s="162">
        <f>IF(AND(E18="x",F22&lt;90,I22&lt;1800,SUM(J38:J42)&lt;1),1,0)</f>
        <v>0</v>
      </c>
      <c r="K43" s="372">
        <f>IF(AND(E18="x",F22&lt;180,I22&lt;3600,SUM(K38:K42)&lt;1),2,0)</f>
        <v>0</v>
      </c>
      <c r="L43" s="372">
        <f>IF(AND(E18="x",F22&lt;270,I22&lt;5400,SUM(L38:L42)&lt;1),3,0)</f>
        <v>0</v>
      </c>
      <c r="M43" s="187"/>
      <c r="N43" s="187"/>
      <c r="O43" s="187"/>
      <c r="P43" s="187"/>
      <c r="Q43" s="187"/>
      <c r="R43" s="187"/>
      <c r="S43" s="187"/>
      <c r="T43" s="187"/>
      <c r="U43" s="187"/>
      <c r="V43" s="187"/>
      <c r="W43" s="842"/>
      <c r="X43" s="256" t="s">
        <v>196</v>
      </c>
      <c r="Y43" s="257">
        <v>15</v>
      </c>
      <c r="Z43" s="257">
        <v>20</v>
      </c>
      <c r="AA43" s="257">
        <v>25</v>
      </c>
      <c r="AB43" s="257">
        <v>32</v>
      </c>
      <c r="AC43" s="257">
        <v>40</v>
      </c>
      <c r="AD43" s="257">
        <v>50</v>
      </c>
      <c r="AE43" s="257">
        <v>65</v>
      </c>
      <c r="AF43" s="257">
        <v>80</v>
      </c>
      <c r="AG43" s="257">
        <v>90</v>
      </c>
      <c r="AH43" s="257">
        <v>100</v>
      </c>
      <c r="AI43" s="257">
        <v>115</v>
      </c>
      <c r="AJ43" s="257">
        <v>125</v>
      </c>
      <c r="AK43" s="257">
        <v>150</v>
      </c>
      <c r="AL43" s="257">
        <v>200</v>
      </c>
      <c r="AM43" s="257">
        <v>250</v>
      </c>
      <c r="AN43" s="264">
        <v>300</v>
      </c>
      <c r="AU43" s="249">
        <v>90</v>
      </c>
      <c r="AV43" s="254">
        <f t="shared" si="5"/>
        <v>0</v>
      </c>
      <c r="AZ43" s="49"/>
    </row>
    <row r="44" spans="1:60" ht="16.05" customHeight="1" thickBot="1" x14ac:dyDescent="0.25">
      <c r="A44" s="126"/>
      <c r="B44" s="242">
        <v>222000</v>
      </c>
      <c r="C44" s="123" t="s">
        <v>252</v>
      </c>
      <c r="D44" s="122" t="s">
        <v>10</v>
      </c>
      <c r="E44" s="382" cm="1">
        <f t="array" ref="E44">IF(SUM(J44:L44)=(MIN(IF($J$38:$L$47 &lt;&gt;0,$J$38:$L$47))),SUM(J44:L44),0)</f>
        <v>0</v>
      </c>
      <c r="F44" s="192">
        <v>182</v>
      </c>
      <c r="G44" s="191">
        <f t="shared" si="6"/>
        <v>0</v>
      </c>
      <c r="H44" s="368">
        <f t="shared" si="4"/>
        <v>0</v>
      </c>
      <c r="I44" s="187">
        <f>J44*2000</f>
        <v>0</v>
      </c>
      <c r="J44" s="162">
        <f>IF(AND(E18="x",F22&lt;100,I22&lt;2000,SUM(J38:J43)&lt;1),1,0)</f>
        <v>0</v>
      </c>
      <c r="K44" s="372">
        <f>IF(AND(E18="x",F22&lt;200,I22&lt;4000,SUM(K38:K43)&lt;1),2,0)</f>
        <v>0</v>
      </c>
      <c r="L44" s="372">
        <f>IF(AND(E18="x",F22&lt;300,I22&lt;6000,SUM(L38:L43)&lt;1),3,0)</f>
        <v>0</v>
      </c>
      <c r="M44" s="187"/>
      <c r="N44" s="187"/>
      <c r="O44" s="187"/>
      <c r="P44" s="187"/>
      <c r="Q44" s="187"/>
      <c r="R44" s="187"/>
      <c r="S44" s="187"/>
      <c r="T44" s="187"/>
      <c r="U44" s="187"/>
      <c r="V44" s="187"/>
      <c r="W44" s="843"/>
      <c r="X44" s="265" t="s">
        <v>223</v>
      </c>
      <c r="Y44" s="844" t="s">
        <v>241</v>
      </c>
      <c r="Z44" s="845"/>
      <c r="AA44" s="845"/>
      <c r="AB44" s="845"/>
      <c r="AC44" s="845"/>
      <c r="AD44" s="845"/>
      <c r="AE44" s="845"/>
      <c r="AF44" s="845"/>
      <c r="AG44" s="845"/>
      <c r="AH44" s="845"/>
      <c r="AI44" s="845"/>
      <c r="AJ44" s="845"/>
      <c r="AK44" s="845"/>
      <c r="AL44" s="845"/>
      <c r="AM44" s="845"/>
      <c r="AN44" s="846"/>
      <c r="AU44" s="249">
        <v>100</v>
      </c>
      <c r="AV44" s="254">
        <f t="shared" si="5"/>
        <v>0</v>
      </c>
      <c r="AZ44" s="148"/>
    </row>
    <row r="45" spans="1:60" ht="16.05" customHeight="1" x14ac:dyDescent="0.2">
      <c r="A45" s="126"/>
      <c r="B45" s="242">
        <v>222400</v>
      </c>
      <c r="C45" s="123" t="s">
        <v>251</v>
      </c>
      <c r="D45" s="122" t="s">
        <v>10</v>
      </c>
      <c r="E45" s="382" cm="1">
        <f t="array" ref="E45">IF(SUM(J45:L45)=(MIN(IF($J$38:$L$47 &lt;&gt;0,$J$38:$L$47))),SUM(J45:L45),0)</f>
        <v>0</v>
      </c>
      <c r="F45" s="192">
        <v>222</v>
      </c>
      <c r="G45" s="191">
        <f t="shared" si="6"/>
        <v>0</v>
      </c>
      <c r="H45" s="368">
        <f t="shared" si="4"/>
        <v>0</v>
      </c>
      <c r="I45" s="187">
        <f>J45*2400</f>
        <v>0</v>
      </c>
      <c r="J45" s="162">
        <f>IF(AND(E18="x",F22&lt;120,I22&lt;2400,SUM(J38:J44)&lt;1),1,0)</f>
        <v>0</v>
      </c>
      <c r="K45" s="372">
        <f>IF(AND(E18="x",F22&lt;240,I22&lt;4800,SUM(K38:K44)&lt;1),2,0)</f>
        <v>0</v>
      </c>
      <c r="L45" s="372">
        <f>IF(AND(E18="x",F22&lt;360,I22&lt;7200,SUM(L38:L44)&lt;1),3,0)</f>
        <v>0</v>
      </c>
      <c r="M45" s="187"/>
      <c r="N45" s="187"/>
      <c r="O45" s="187"/>
      <c r="P45" s="187"/>
      <c r="Q45" s="187"/>
      <c r="R45" s="187"/>
      <c r="S45" s="187"/>
      <c r="T45" s="187"/>
      <c r="U45" s="187"/>
      <c r="V45" s="187"/>
      <c r="W45" s="269">
        <v>20</v>
      </c>
      <c r="X45" s="274">
        <v>-20</v>
      </c>
      <c r="Y45" s="271">
        <f>F22</f>
        <v>23</v>
      </c>
      <c r="Z45" s="151">
        <f>F22</f>
        <v>23</v>
      </c>
      <c r="AA45" s="151">
        <f>F22</f>
        <v>23</v>
      </c>
      <c r="AB45" s="151">
        <f>(ROUNDUP(F22*AB29/11,0))</f>
        <v>26</v>
      </c>
      <c r="AC45" s="151">
        <f>(ROUNDUP(F22*AC29/11,0))</f>
        <v>29</v>
      </c>
      <c r="AD45" s="151">
        <f>(ROUNDUP(F22*AD29/11,0))</f>
        <v>34</v>
      </c>
      <c r="AE45" s="151">
        <f>(ROUNDUP(F22*AE29/11,0))</f>
        <v>40</v>
      </c>
      <c r="AF45" s="151">
        <f>(ROUNDUP(F22*AF29/11,0))</f>
        <v>46</v>
      </c>
      <c r="AG45" s="151">
        <f>(ROUNDUP(F22*AG29/11,0))</f>
        <v>52</v>
      </c>
      <c r="AH45" s="151">
        <f>(ROUNDUP(F22*AH29/11,0))</f>
        <v>57</v>
      </c>
      <c r="AI45" s="151">
        <f>(ROUNDUP(F22*AI29/11,0))</f>
        <v>63</v>
      </c>
      <c r="AJ45" s="151">
        <f>(ROUNDUP(F22*AJ29/11,0))</f>
        <v>69</v>
      </c>
      <c r="AK45" s="151">
        <f>(ROUNDUP(F22*AK29/11,0))</f>
        <v>80</v>
      </c>
      <c r="AL45" s="151">
        <f>(ROUNDUP(F22*AL29/11,0))</f>
        <v>103</v>
      </c>
      <c r="AM45" s="151">
        <f>(ROUNDUP(F22*AM29/11,0))</f>
        <v>126</v>
      </c>
      <c r="AN45" s="152">
        <f>(ROUNDUP(F22*AN29/11,0))</f>
        <v>147</v>
      </c>
      <c r="AU45" s="249">
        <v>120</v>
      </c>
      <c r="AV45" s="254">
        <f t="shared" si="5"/>
        <v>0</v>
      </c>
      <c r="AZ45" s="147"/>
    </row>
    <row r="46" spans="1:60" ht="16.05" customHeight="1" x14ac:dyDescent="0.2">
      <c r="A46" s="126"/>
      <c r="B46" s="242">
        <v>222800</v>
      </c>
      <c r="C46" s="123" t="s">
        <v>250</v>
      </c>
      <c r="D46" s="122" t="s">
        <v>10</v>
      </c>
      <c r="E46" s="382" cm="1">
        <f t="array" ref="E46">IF(SUM(J46:L46)=(MIN(IF($J$38:$L$47 &lt;&gt;0,$J$38:$L$47))),SUM(J46:L46),0)</f>
        <v>0</v>
      </c>
      <c r="F46" s="192">
        <v>265</v>
      </c>
      <c r="G46" s="191">
        <f t="shared" si="6"/>
        <v>0</v>
      </c>
      <c r="H46" s="368">
        <f t="shared" si="4"/>
        <v>0</v>
      </c>
      <c r="I46" s="187">
        <f>J46*2800</f>
        <v>0</v>
      </c>
      <c r="J46" s="162">
        <f>IF(AND(E18="x",F22&lt;140,I22&lt;2800,SUM(J38:J45)&lt;1),1,0)</f>
        <v>0</v>
      </c>
      <c r="K46" s="372">
        <f>IF(AND(E18="x",F22&lt;280,I22&lt;5600,SUM(K38:K45)&lt;1),2,0)</f>
        <v>0</v>
      </c>
      <c r="L46" s="372">
        <f>IF(AND(E18="x",F22&lt;420,I22&lt;8400,SUM(L38:L45)&lt;1),3,0)</f>
        <v>0</v>
      </c>
      <c r="M46" s="187"/>
      <c r="N46" s="187"/>
      <c r="O46" s="187"/>
      <c r="P46" s="187"/>
      <c r="Q46" s="187"/>
      <c r="R46" s="187"/>
      <c r="S46" s="187"/>
      <c r="T46" s="187"/>
      <c r="U46" s="187"/>
      <c r="V46" s="187"/>
      <c r="W46" s="145">
        <v>20</v>
      </c>
      <c r="X46" s="275">
        <v>-25</v>
      </c>
      <c r="Y46" s="272">
        <f>F22</f>
        <v>23</v>
      </c>
      <c r="Z46" s="150">
        <f>F22</f>
        <v>23</v>
      </c>
      <c r="AA46" s="150">
        <f>(ROUNDUP(F22*AA30/11,0))</f>
        <v>27</v>
      </c>
      <c r="AB46" s="150">
        <f>(ROUNDUP(F22*AB30/11,0))</f>
        <v>31</v>
      </c>
      <c r="AC46" s="150">
        <f>(ROUNDUP(F22*AC30/11,0))</f>
        <v>34</v>
      </c>
      <c r="AD46" s="150">
        <f>(ROUNDUP(F22*AD30/11,0))</f>
        <v>41</v>
      </c>
      <c r="AE46" s="150">
        <f>(ROUNDUP(F22*AE30/11,0))</f>
        <v>47</v>
      </c>
      <c r="AF46" s="150">
        <f>(ROUNDUP(F22*AF30/11,0))</f>
        <v>56</v>
      </c>
      <c r="AG46" s="150">
        <f>(ROUNDUP(F22*AG30/11,0))</f>
        <v>63</v>
      </c>
      <c r="AH46" s="150">
        <f>(ROUNDUP(F22*AH30/11,0))</f>
        <v>69</v>
      </c>
      <c r="AI46" s="150">
        <f>(ROUNDUP(F22*AI30/11,0))</f>
        <v>76</v>
      </c>
      <c r="AJ46" s="150">
        <f>(ROUNDUP(F22*AJ30/11,0))</f>
        <v>82</v>
      </c>
      <c r="AK46" s="150">
        <f>(ROUNDUP(F22*AK30/11,0))</f>
        <v>97</v>
      </c>
      <c r="AL46" s="150">
        <f>(ROUNDUP(F22*AL30/11,0))</f>
        <v>122</v>
      </c>
      <c r="AM46" s="150">
        <f>(ROUNDUP(F22*AM30/11,0))</f>
        <v>151</v>
      </c>
      <c r="AN46" s="153">
        <f>(ROUNDUP(F22*AN30/11,0))</f>
        <v>176</v>
      </c>
      <c r="AQ46" s="49"/>
      <c r="AU46" s="249">
        <v>140</v>
      </c>
      <c r="AV46" s="254">
        <f t="shared" si="5"/>
        <v>0</v>
      </c>
    </row>
    <row r="47" spans="1:60" ht="16.05" customHeight="1" thickBot="1" x14ac:dyDescent="0.25">
      <c r="A47" s="136"/>
      <c r="B47" s="243">
        <v>223200</v>
      </c>
      <c r="C47" s="164" t="s">
        <v>249</v>
      </c>
      <c r="D47" s="139" t="s">
        <v>10</v>
      </c>
      <c r="E47" s="383" cm="1">
        <f t="array" ref="E47">IF(SUM(J47:L47)=(MIN(IF($J$38:$L$47 &lt;&gt;0,$J$38:$L$47))),SUM(J47:L47),0)</f>
        <v>0</v>
      </c>
      <c r="F47" s="193">
        <v>313</v>
      </c>
      <c r="G47" s="194">
        <f t="shared" si="6"/>
        <v>0</v>
      </c>
      <c r="H47" s="368">
        <f t="shared" si="4"/>
        <v>0</v>
      </c>
      <c r="I47" s="187">
        <f>J47*3200</f>
        <v>0</v>
      </c>
      <c r="J47" s="162">
        <f>IF(AND(E18="x",F22&lt;160,I22&lt;3200,SUM(J38:J46)&lt;1),1,0)</f>
        <v>0</v>
      </c>
      <c r="K47" s="372">
        <f>IF(AND(E18="x",F22&lt;320,I22&lt;6400,SUM(K38:K46)&lt;1),2,0)</f>
        <v>0</v>
      </c>
      <c r="L47" s="372">
        <f>IF(AND(E18="x",F22&lt;480,I22&lt;9600,SUM(L38:L46)&lt;1),3,0)</f>
        <v>0</v>
      </c>
      <c r="M47" s="187"/>
      <c r="N47" s="187"/>
      <c r="O47" s="187"/>
      <c r="P47" s="187"/>
      <c r="Q47" s="187"/>
      <c r="R47" s="187"/>
      <c r="S47" s="187"/>
      <c r="T47" s="187"/>
      <c r="U47" s="187"/>
      <c r="V47" s="187"/>
      <c r="W47" s="268">
        <v>20</v>
      </c>
      <c r="X47" s="276">
        <v>-35</v>
      </c>
      <c r="Y47" s="154">
        <f>(ROUNDUP(F22*Y31/11,0))</f>
        <v>26</v>
      </c>
      <c r="Z47" s="154">
        <f>(ROUNDUP(F22*Z31/11,0))</f>
        <v>31</v>
      </c>
      <c r="AA47" s="154">
        <f>(ROUNDUP(F22*AA31/11,0))</f>
        <v>36</v>
      </c>
      <c r="AB47" s="154">
        <f>(ROUNDUP(F22*AB31/11,0))</f>
        <v>41</v>
      </c>
      <c r="AC47" s="154">
        <f>(ROUNDUP(F22*AC31/11,0))</f>
        <v>46</v>
      </c>
      <c r="AD47" s="154">
        <f>(ROUNDUP(F22*AD31/11,0))</f>
        <v>54</v>
      </c>
      <c r="AE47" s="154">
        <f>(ROUNDUP(F22*AE31/11,0))</f>
        <v>63</v>
      </c>
      <c r="AF47" s="154">
        <f>(ROUNDUP(F22*AF31/11,0))</f>
        <v>74</v>
      </c>
      <c r="AG47" s="154">
        <f>(ROUNDUP(F22*AG31/11,0))</f>
        <v>82</v>
      </c>
      <c r="AH47" s="154">
        <f>(ROUNDUP(F22*AH31/11,0))</f>
        <v>90</v>
      </c>
      <c r="AI47" s="154">
        <f>(ROUNDUP(F22*AI31/11,0))</f>
        <v>101</v>
      </c>
      <c r="AJ47" s="154">
        <f>(ROUNDUP(F22*AJ31/11,0))</f>
        <v>109</v>
      </c>
      <c r="AK47" s="154">
        <f>(ROUNDUP(F22*AK31/11,0))</f>
        <v>128</v>
      </c>
      <c r="AL47" s="154">
        <f>(ROUNDUP(F22*AL31/11,0))</f>
        <v>164</v>
      </c>
      <c r="AM47" s="154">
        <f>(ROUNDUP(F22*AM31/11,0))</f>
        <v>201</v>
      </c>
      <c r="AN47" s="155">
        <f>(ROUNDUP(F22*AN31/11,0))</f>
        <v>235</v>
      </c>
      <c r="AU47" s="250">
        <v>160</v>
      </c>
      <c r="AV47" s="254">
        <f t="shared" si="5"/>
        <v>0</v>
      </c>
    </row>
    <row r="48" spans="1:60" ht="16.05" customHeight="1" thickBot="1" x14ac:dyDescent="0.25">
      <c r="A48" s="647" t="s">
        <v>237</v>
      </c>
      <c r="B48" s="246"/>
      <c r="C48" s="246"/>
      <c r="D48" s="246"/>
      <c r="E48" s="246"/>
      <c r="F48" s="246"/>
      <c r="G48" s="166"/>
      <c r="H48" s="684">
        <f>SUM(H49:H59)</f>
        <v>0</v>
      </c>
      <c r="I48" s="187"/>
      <c r="J48" s="187"/>
      <c r="K48" s="187"/>
      <c r="L48" s="187"/>
      <c r="M48" s="187"/>
      <c r="N48" s="187"/>
      <c r="O48" s="187"/>
      <c r="P48" s="187"/>
      <c r="Q48" s="187"/>
      <c r="R48" s="187"/>
      <c r="S48" s="187"/>
      <c r="T48" s="187"/>
      <c r="U48" s="187"/>
      <c r="V48" s="187"/>
      <c r="W48" s="269">
        <v>30</v>
      </c>
      <c r="X48" s="274">
        <v>-20</v>
      </c>
      <c r="Y48" s="271">
        <f>F22</f>
        <v>23</v>
      </c>
      <c r="Z48" s="151">
        <f>F22</f>
        <v>23</v>
      </c>
      <c r="AA48" s="151">
        <f>F22</f>
        <v>23</v>
      </c>
      <c r="AB48" s="151">
        <f>F22</f>
        <v>23</v>
      </c>
      <c r="AC48" s="151">
        <f>F22</f>
        <v>23</v>
      </c>
      <c r="AD48" s="151">
        <f>(ROUNDUP(F22*AD32/11,0))</f>
        <v>25</v>
      </c>
      <c r="AE48" s="151">
        <f>(ROUNDUP(F22*AE32/11,0))</f>
        <v>29</v>
      </c>
      <c r="AF48" s="151">
        <f>(ROUNDUP(F22*AF32/11,0))</f>
        <v>34</v>
      </c>
      <c r="AG48" s="151">
        <f>(ROUNDUP(F22*AG32/11,0))</f>
        <v>37</v>
      </c>
      <c r="AH48" s="151">
        <f>(ROUNDUP(F22*AH32/11,0))</f>
        <v>41</v>
      </c>
      <c r="AI48" s="151">
        <f>(ROUNDUP(F22*AI32/11,0))</f>
        <v>45</v>
      </c>
      <c r="AJ48" s="151">
        <f>(ROUNDUP(F22*AJ32/11,0))</f>
        <v>49</v>
      </c>
      <c r="AK48" s="151">
        <f>(ROUNDUP(F22*AK32/11,0))</f>
        <v>56</v>
      </c>
      <c r="AL48" s="151">
        <f>(ROUNDUP(F22*AL32/11,0))</f>
        <v>72</v>
      </c>
      <c r="AM48" s="151">
        <f>(ROUNDUP(F22*AM32/11,0))</f>
        <v>86</v>
      </c>
      <c r="AN48" s="152">
        <f>(ROUNDUP(F22*AN32/11,0))</f>
        <v>101</v>
      </c>
      <c r="AU48" s="246"/>
      <c r="AV48" s="254">
        <f t="shared" si="5"/>
        <v>0</v>
      </c>
    </row>
    <row r="49" spans="1:48" ht="16.05" customHeight="1" x14ac:dyDescent="0.2">
      <c r="A49" s="167"/>
      <c r="B49" s="168">
        <v>120300</v>
      </c>
      <c r="C49" s="169" t="s">
        <v>198</v>
      </c>
      <c r="D49" s="168" t="s">
        <v>10</v>
      </c>
      <c r="E49" s="384" cm="1">
        <f t="array" ref="E49">IF(SUM(J49:L49)=(MIN(IF($J$49:$L$59 &lt;&gt;0,$J$49:$L$59))),SUM(J49:L49),0)</f>
        <v>0</v>
      </c>
      <c r="F49" s="240">
        <v>44</v>
      </c>
      <c r="G49" s="189">
        <f>E49*F49</f>
        <v>0</v>
      </c>
      <c r="H49" s="368">
        <f t="shared" ref="H49:H59" si="7">E49</f>
        <v>0</v>
      </c>
      <c r="I49" s="187">
        <f>J49*300</f>
        <v>0</v>
      </c>
      <c r="J49" s="162">
        <f>IF(AND(E17="x",F22&lt;17.6,I22&lt;300),1,0)</f>
        <v>0</v>
      </c>
      <c r="K49" s="162">
        <f>IF(AND(E17="x",F22&lt;35.2,I22&lt;600),1,0)</f>
        <v>0</v>
      </c>
      <c r="L49" s="162">
        <f>IF(AND(E17="x",F22&lt;52.8,I22&lt;900),3,0)</f>
        <v>0</v>
      </c>
      <c r="M49" s="187"/>
      <c r="N49" s="187"/>
      <c r="O49" s="187"/>
      <c r="P49" s="187"/>
      <c r="Q49" s="187"/>
      <c r="R49" s="187"/>
      <c r="S49" s="187"/>
      <c r="T49" s="187"/>
      <c r="U49" s="187"/>
      <c r="V49" s="187"/>
      <c r="W49" s="145">
        <v>30</v>
      </c>
      <c r="X49" s="275">
        <v>-25</v>
      </c>
      <c r="Y49" s="272">
        <f>F22</f>
        <v>23</v>
      </c>
      <c r="Z49" s="150">
        <f>F22</f>
        <v>23</v>
      </c>
      <c r="AA49" s="150">
        <f>F22</f>
        <v>23</v>
      </c>
      <c r="AB49" s="150">
        <f>F22</f>
        <v>23</v>
      </c>
      <c r="AC49" s="150">
        <f>F22</f>
        <v>23</v>
      </c>
      <c r="AD49" s="150">
        <f>(ROUNDUP(F22*AD33/11,0))</f>
        <v>25</v>
      </c>
      <c r="AE49" s="150">
        <f>(ROUNDUP(F22*AE33/11,0))</f>
        <v>29</v>
      </c>
      <c r="AF49" s="150">
        <f>(ROUNDUP(F22*AF33/11,0))</f>
        <v>34</v>
      </c>
      <c r="AG49" s="150">
        <f>(ROUNDUP(F22*AG33/11,0))</f>
        <v>37</v>
      </c>
      <c r="AH49" s="150">
        <f>(ROUNDUP(F22*AH33/11,0))</f>
        <v>41</v>
      </c>
      <c r="AI49" s="150">
        <f>(ROUNDUP(F22*AI33/11,0))</f>
        <v>45</v>
      </c>
      <c r="AJ49" s="150">
        <f>(ROUNDUP(F22*AJ33/11,0))</f>
        <v>49</v>
      </c>
      <c r="AK49" s="150">
        <f>(ROUNDUP(F22*AK33/11,0))</f>
        <v>56</v>
      </c>
      <c r="AL49" s="150">
        <f>(ROUNDUP(F22*AL33/11,0))</f>
        <v>72</v>
      </c>
      <c r="AM49" s="150">
        <f>(ROUNDUP(F22*AM33/11,0))</f>
        <v>86</v>
      </c>
      <c r="AN49" s="153">
        <f>(ROUNDUP(F22*AN33/11,0))</f>
        <v>101</v>
      </c>
      <c r="AU49" s="248">
        <v>17.600000000000001</v>
      </c>
      <c r="AV49" s="254">
        <f t="shared" si="5"/>
        <v>0</v>
      </c>
    </row>
    <row r="50" spans="1:48" ht="16.05" customHeight="1" thickBot="1" x14ac:dyDescent="0.25">
      <c r="A50" s="126"/>
      <c r="B50" s="122">
        <v>120500</v>
      </c>
      <c r="C50" s="123" t="s">
        <v>199</v>
      </c>
      <c r="D50" s="122" t="s">
        <v>10</v>
      </c>
      <c r="E50" s="382" cm="1">
        <f t="array" ref="E50">IF(SUM(J50:L50)=(MIN(IF($J$49:$L$59 &lt;&gt;0,$J$49:$L$59))),SUM(J50:L50),0)</f>
        <v>0</v>
      </c>
      <c r="F50" s="192">
        <v>65</v>
      </c>
      <c r="G50" s="191">
        <f t="shared" ref="G50:G59" si="8">E50*F50</f>
        <v>0</v>
      </c>
      <c r="H50" s="368">
        <f t="shared" si="7"/>
        <v>0</v>
      </c>
      <c r="I50" s="187">
        <f>J50*500</f>
        <v>0</v>
      </c>
      <c r="J50" s="162">
        <f>IF(AND(E17="x",F22&lt;29.4,I22&lt;500,SUM(J49:J49)&lt;1),1,0)</f>
        <v>0</v>
      </c>
      <c r="K50" s="162">
        <f>IF(AND(E17="x",F22&lt;58.8,I22&lt;1000,SUM(K49)&lt;1),2,0)</f>
        <v>0</v>
      </c>
      <c r="L50" s="162">
        <f>IF(AND(E17="x",F22&lt;88.2,I22&lt;1500,SUM(L49)&lt;1),3,0)</f>
        <v>0</v>
      </c>
      <c r="M50" s="187"/>
      <c r="N50" s="187"/>
      <c r="O50" s="187"/>
      <c r="P50" s="187"/>
      <c r="Q50" s="187"/>
      <c r="R50" s="187"/>
      <c r="S50" s="187"/>
      <c r="T50" s="187"/>
      <c r="U50" s="187"/>
      <c r="V50" s="187"/>
      <c r="W50" s="268">
        <v>30</v>
      </c>
      <c r="X50" s="276">
        <v>-35</v>
      </c>
      <c r="Y50" s="273">
        <f>F22</f>
        <v>23</v>
      </c>
      <c r="Z50" s="154">
        <f>F22</f>
        <v>23</v>
      </c>
      <c r="AA50" s="154">
        <f>F22</f>
        <v>23</v>
      </c>
      <c r="AB50" s="154">
        <f>F22</f>
        <v>23</v>
      </c>
      <c r="AC50" s="154">
        <f>(ROUNDUP(F22*AC34/11,0))</f>
        <v>26</v>
      </c>
      <c r="AD50" s="154">
        <f>(ROUNDUP(F22*AD34/11,0))</f>
        <v>30</v>
      </c>
      <c r="AE50" s="154">
        <f>(ROUNDUP(F22*AE34/11,0))</f>
        <v>35</v>
      </c>
      <c r="AF50" s="154">
        <f>(ROUNDUP(F22*AF34/11,0))</f>
        <v>40</v>
      </c>
      <c r="AG50" s="154">
        <f>(ROUNDUP(F22*AG34/11,0))</f>
        <v>45</v>
      </c>
      <c r="AH50" s="154">
        <f>(ROUNDUP(F22*AH34/11,0))</f>
        <v>49</v>
      </c>
      <c r="AI50" s="154">
        <f>(ROUNDUP(F22*AI34/11,0))</f>
        <v>53</v>
      </c>
      <c r="AJ50" s="154">
        <f>(ROUNDUP(F22*AJ34/11,0))</f>
        <v>58</v>
      </c>
      <c r="AK50" s="154">
        <f>(ROUNDUP(F22*AK34/11,0))</f>
        <v>67</v>
      </c>
      <c r="AL50" s="154">
        <f>(ROUNDUP(F22*AL34/11,0))</f>
        <v>84</v>
      </c>
      <c r="AM50" s="154">
        <f>(ROUNDUP(F22*AM34/11,0))</f>
        <v>103</v>
      </c>
      <c r="AN50" s="155">
        <f>(ROUNDUP(F22*AN34/11,0))</f>
        <v>122</v>
      </c>
      <c r="AU50" s="249">
        <v>29.4</v>
      </c>
      <c r="AV50" s="254">
        <f t="shared" si="5"/>
        <v>0</v>
      </c>
    </row>
    <row r="51" spans="1:48" ht="16.05" customHeight="1" x14ac:dyDescent="0.2">
      <c r="A51" s="126"/>
      <c r="B51" s="122">
        <v>120700</v>
      </c>
      <c r="C51" s="123" t="s">
        <v>200</v>
      </c>
      <c r="D51" s="122" t="s">
        <v>10</v>
      </c>
      <c r="E51" s="382" cm="1">
        <f t="array" ref="E51">IF(SUM(J51:L51)=(MIN(IF($J$49:$L$59 &lt;&gt;0,$J$49:$L$59))),SUM(J51:L51),0)</f>
        <v>0</v>
      </c>
      <c r="F51" s="192">
        <v>79</v>
      </c>
      <c r="G51" s="191">
        <f t="shared" si="8"/>
        <v>0</v>
      </c>
      <c r="H51" s="368">
        <f t="shared" si="7"/>
        <v>0</v>
      </c>
      <c r="I51" s="187">
        <f>J51*700</f>
        <v>0</v>
      </c>
      <c r="J51" s="162">
        <f>IF(AND(E17="x",F22&lt;41.2,I22&lt;700,SUM(J49:J50)&lt;1),1,0)</f>
        <v>0</v>
      </c>
      <c r="K51" s="162">
        <f>IF(AND(E17="x",F22&lt;82.4,I22&lt;1400,SUM(K49:K50)&lt;1),2,0)</f>
        <v>0</v>
      </c>
      <c r="L51" s="162">
        <f>IF(AND(E17="x",F22&lt;123.6,I22&lt;2100,SUM(L49:L50)&lt;1),3,0)</f>
        <v>0</v>
      </c>
      <c r="M51" s="187"/>
      <c r="N51" s="187"/>
      <c r="O51" s="187"/>
      <c r="P51" s="187"/>
      <c r="Q51" s="187"/>
      <c r="R51" s="187"/>
      <c r="S51" s="187"/>
      <c r="T51" s="187"/>
      <c r="U51" s="187"/>
      <c r="V51" s="187"/>
      <c r="W51" s="269">
        <v>50</v>
      </c>
      <c r="X51" s="274">
        <v>-20</v>
      </c>
      <c r="Y51" s="271">
        <f>F22</f>
        <v>23</v>
      </c>
      <c r="Z51" s="151">
        <f>F22</f>
        <v>23</v>
      </c>
      <c r="AA51" s="151">
        <f>F22</f>
        <v>23</v>
      </c>
      <c r="AB51" s="151">
        <f>F22</f>
        <v>23</v>
      </c>
      <c r="AC51" s="151">
        <f>F22</f>
        <v>23</v>
      </c>
      <c r="AD51" s="151">
        <f>F22</f>
        <v>23</v>
      </c>
      <c r="AE51" s="151">
        <f>F22</f>
        <v>23</v>
      </c>
      <c r="AF51" s="151">
        <f>F22</f>
        <v>23</v>
      </c>
      <c r="AG51" s="151">
        <f>(ROUNDUP(F22*AG35/11,0))</f>
        <v>25</v>
      </c>
      <c r="AH51" s="151">
        <f>(ROUNDUP(F22*AH35/11,0))</f>
        <v>28</v>
      </c>
      <c r="AI51" s="151">
        <f>(ROUNDUP(F22*AI35/11,0))</f>
        <v>30</v>
      </c>
      <c r="AJ51" s="151">
        <f>(ROUNDUP(F22*AJ35/11,0))</f>
        <v>32</v>
      </c>
      <c r="AK51" s="151">
        <f>(ROUNDUP(F22*AK35/11,0))</f>
        <v>37</v>
      </c>
      <c r="AL51" s="151">
        <f>(ROUNDUP(F22*AL35/11,0))</f>
        <v>46</v>
      </c>
      <c r="AM51" s="151">
        <f>(ROUNDUP(F22*AM35/11,0))</f>
        <v>55</v>
      </c>
      <c r="AN51" s="152">
        <f>(ROUNDUP(F22*AN35/11,0))</f>
        <v>64</v>
      </c>
      <c r="AU51" s="249">
        <v>41.2</v>
      </c>
      <c r="AV51" s="254">
        <f t="shared" si="5"/>
        <v>0</v>
      </c>
    </row>
    <row r="52" spans="1:48" ht="16.05" customHeight="1" x14ac:dyDescent="0.2">
      <c r="A52" s="126"/>
      <c r="B52" s="122">
        <v>121000</v>
      </c>
      <c r="C52" s="123" t="s">
        <v>201</v>
      </c>
      <c r="D52" s="122" t="s">
        <v>10</v>
      </c>
      <c r="E52" s="382" cm="1">
        <f t="array" ref="E52">IF(SUM(J52:L52)=(MIN(IF($J$49:$L$59 &lt;&gt;0,$J$49:$L$59))),SUM(J52:L52),0)</f>
        <v>0</v>
      </c>
      <c r="F52" s="192">
        <v>112</v>
      </c>
      <c r="G52" s="191">
        <f t="shared" si="8"/>
        <v>0</v>
      </c>
      <c r="H52" s="368">
        <f t="shared" si="7"/>
        <v>0</v>
      </c>
      <c r="I52" s="187">
        <f>J52*1000</f>
        <v>0</v>
      </c>
      <c r="J52" s="162">
        <f>IF(AND(E17="x",F22&lt;58.8,I22&lt;1000,SUM(J49:J51)&lt;1),1,0)</f>
        <v>0</v>
      </c>
      <c r="K52" s="162">
        <f>IF(AND(E17="x",F22&lt;117.6,I22&lt;2000,SUM(K49:K51)&lt;1),2,0)</f>
        <v>0</v>
      </c>
      <c r="L52" s="162">
        <f>IF(AND(E17="x",F22&lt;176.4,I22&lt;3000,SUM(L49:L51)&lt;1),3,0)</f>
        <v>0</v>
      </c>
      <c r="M52" s="187"/>
      <c r="N52" s="187"/>
      <c r="O52" s="187"/>
      <c r="P52" s="187"/>
      <c r="Q52" s="187"/>
      <c r="R52" s="187"/>
      <c r="S52" s="187"/>
      <c r="T52" s="187"/>
      <c r="U52" s="187"/>
      <c r="V52" s="187"/>
      <c r="W52" s="145">
        <v>50</v>
      </c>
      <c r="X52" s="275">
        <v>-25</v>
      </c>
      <c r="Y52" s="272">
        <f>F22</f>
        <v>23</v>
      </c>
      <c r="Z52" s="150">
        <f>F22</f>
        <v>23</v>
      </c>
      <c r="AA52" s="150">
        <f>F22</f>
        <v>23</v>
      </c>
      <c r="AB52" s="150">
        <f>F22</f>
        <v>23</v>
      </c>
      <c r="AC52" s="150">
        <f>F22</f>
        <v>23</v>
      </c>
      <c r="AD52" s="150">
        <f>F22</f>
        <v>23</v>
      </c>
      <c r="AE52" s="150">
        <f>F22</f>
        <v>23</v>
      </c>
      <c r="AF52" s="150">
        <f>(ROUNDUP(F22*AF36/11,0))</f>
        <v>28</v>
      </c>
      <c r="AG52" s="150">
        <f>(ROUNDUP(F22*AG36/11,0))</f>
        <v>30</v>
      </c>
      <c r="AH52" s="150">
        <f>(ROUNDUP(F22*AH36/11,0))</f>
        <v>33</v>
      </c>
      <c r="AI52" s="150">
        <f>(ROUNDUP(F22*AI36/11,0))</f>
        <v>36</v>
      </c>
      <c r="AJ52" s="150">
        <f>(ROUNDUP(F22*AJ36/11,0))</f>
        <v>39</v>
      </c>
      <c r="AK52" s="150">
        <f>(ROUNDUP(F22*AK36/11,0))</f>
        <v>44</v>
      </c>
      <c r="AL52" s="150">
        <f>(ROUNDUP(F22*AL36/11,0))</f>
        <v>55</v>
      </c>
      <c r="AM52" s="150">
        <f>(ROUNDUP(F22*AM36/11,0))</f>
        <v>65</v>
      </c>
      <c r="AN52" s="153">
        <f>(ROUNDUP(F22*AN36/11,0))</f>
        <v>76</v>
      </c>
      <c r="AU52" s="249">
        <v>58.8</v>
      </c>
      <c r="AV52" s="254">
        <f t="shared" si="5"/>
        <v>0</v>
      </c>
    </row>
    <row r="53" spans="1:48" ht="16.05" customHeight="1" thickBot="1" x14ac:dyDescent="0.25">
      <c r="A53" s="126"/>
      <c r="B53" s="122">
        <v>121250</v>
      </c>
      <c r="C53" s="123" t="s">
        <v>202</v>
      </c>
      <c r="D53" s="122" t="s">
        <v>10</v>
      </c>
      <c r="E53" s="382" cm="1">
        <f t="array" ref="E53">IF(SUM(J53:L53)=(MIN(IF($J$49:$L$59 &lt;&gt;0,$J$49:$L$59))),SUM(J53:L53),0)</f>
        <v>0</v>
      </c>
      <c r="F53" s="192">
        <v>141</v>
      </c>
      <c r="G53" s="191">
        <f t="shared" si="8"/>
        <v>0</v>
      </c>
      <c r="H53" s="368">
        <f t="shared" si="7"/>
        <v>0</v>
      </c>
      <c r="I53" s="187">
        <f>J53*1250</f>
        <v>0</v>
      </c>
      <c r="J53" s="162">
        <f>IF(AND(E17="x",F22&lt;73.5,I22&lt;1250,SUM(J49:J52)&lt;1),1,0)</f>
        <v>0</v>
      </c>
      <c r="K53" s="162">
        <f>IF(AND(E17="x",F22&lt;147,I22&lt;2500,SUM(K49:K52)&lt;1),2,0)</f>
        <v>0</v>
      </c>
      <c r="L53" s="162">
        <f>IF(AND(E17="x",F22&lt;220.5,I22&lt;3750,SUM(L49:L52)&lt;1),3,0)</f>
        <v>0</v>
      </c>
      <c r="M53" s="187"/>
      <c r="N53" s="187"/>
      <c r="O53" s="187"/>
      <c r="P53" s="187"/>
      <c r="Q53" s="187"/>
      <c r="R53" s="187"/>
      <c r="S53" s="187"/>
      <c r="T53" s="187"/>
      <c r="U53" s="187"/>
      <c r="V53" s="187"/>
      <c r="W53" s="270">
        <v>50</v>
      </c>
      <c r="X53" s="276">
        <v>-35</v>
      </c>
      <c r="Y53" s="273">
        <f>F22</f>
        <v>23</v>
      </c>
      <c r="Z53" s="154">
        <f>F22</f>
        <v>23</v>
      </c>
      <c r="AA53" s="154">
        <f>F22</f>
        <v>23</v>
      </c>
      <c r="AB53" s="154">
        <f>F22</f>
        <v>23</v>
      </c>
      <c r="AC53" s="154">
        <f>(ROUNDUP(F22*AC37/11,0))</f>
        <v>25</v>
      </c>
      <c r="AD53" s="154">
        <f>(ROUNDUP(F22*AD37/11,0))</f>
        <v>28</v>
      </c>
      <c r="AE53" s="154">
        <f>(ROUNDUP(F22*AE37/11,0))</f>
        <v>32</v>
      </c>
      <c r="AF53" s="154">
        <f>(ROUNDUP(F22*AF37/11,0))</f>
        <v>37</v>
      </c>
      <c r="AG53" s="154">
        <f>(ROUNDUP(F22*AG37/11,0))</f>
        <v>40</v>
      </c>
      <c r="AH53" s="154">
        <f>(ROUNDUP(F22*AH37/11,0))</f>
        <v>44</v>
      </c>
      <c r="AI53" s="154">
        <f>(ROUNDUP(F22*AI37/11,0))</f>
        <v>48</v>
      </c>
      <c r="AJ53" s="154">
        <f>(ROUNDUP(F22*AJ37/11,0))</f>
        <v>52</v>
      </c>
      <c r="AK53" s="154">
        <f>(ROUNDUP(F22*AK37/11,0))</f>
        <v>59</v>
      </c>
      <c r="AL53" s="154">
        <f>(ROUNDUP(F22*AL37/11,0))</f>
        <v>74</v>
      </c>
      <c r="AM53" s="154">
        <f>(ROUNDUP(F22*AM37/11,0))</f>
        <v>88</v>
      </c>
      <c r="AN53" s="155">
        <f>(ROUNDUP(F22*AN37/11,0))</f>
        <v>103</v>
      </c>
      <c r="AU53" s="249">
        <v>73.5</v>
      </c>
      <c r="AV53" s="254">
        <f t="shared" si="5"/>
        <v>0</v>
      </c>
    </row>
    <row r="54" spans="1:48" ht="16.05" customHeight="1" x14ac:dyDescent="0.2">
      <c r="A54" s="126"/>
      <c r="B54" s="122">
        <v>121501</v>
      </c>
      <c r="C54" s="123" t="s">
        <v>203</v>
      </c>
      <c r="D54" s="122" t="s">
        <v>10</v>
      </c>
      <c r="E54" s="382" cm="1">
        <f t="array" ref="E54">IF(SUM(J54:L54)=(MIN(IF($J$49:$L$59 &lt;&gt;0,$J$49:$L$59))),SUM(J54:L54),0)</f>
        <v>0</v>
      </c>
      <c r="F54" s="192">
        <v>176</v>
      </c>
      <c r="G54" s="191">
        <f t="shared" si="8"/>
        <v>0</v>
      </c>
      <c r="H54" s="368">
        <f t="shared" si="7"/>
        <v>0</v>
      </c>
      <c r="I54" s="187">
        <f>J54*1500</f>
        <v>0</v>
      </c>
      <c r="J54" s="162">
        <f>IF(AND(E17="x",F22&lt;88.2,I22&lt;1500,SUM(J49:J53)&lt;1),1,0)</f>
        <v>0</v>
      </c>
      <c r="K54" s="162">
        <f>IF(AND(E17="x",F22&lt;176.4,I22&lt;3000,SUM(K49:K53)&lt;1),2,0)</f>
        <v>0</v>
      </c>
      <c r="L54" s="162">
        <f>IF(AND(E17="x",F22&lt;264.6,I22&lt;4500,SUM(L49:L53)&lt;1),3,0)</f>
        <v>0</v>
      </c>
      <c r="M54" s="187"/>
      <c r="N54" s="187"/>
      <c r="O54" s="187"/>
      <c r="P54" s="187"/>
      <c r="Q54" s="187"/>
      <c r="R54" s="187"/>
      <c r="S54" s="187"/>
      <c r="T54" s="187"/>
      <c r="U54" s="187"/>
      <c r="V54" s="187"/>
      <c r="W54" s="61"/>
      <c r="X54" s="61"/>
      <c r="Y54" s="61"/>
      <c r="Z54" s="61"/>
      <c r="AA54" s="61"/>
      <c r="AB54" s="61"/>
      <c r="AC54" s="61"/>
      <c r="AD54" s="61"/>
      <c r="AE54" s="61"/>
      <c r="AF54" s="61"/>
      <c r="AG54" s="61"/>
      <c r="AH54" s="61"/>
      <c r="AI54" s="61"/>
      <c r="AJ54" s="61"/>
      <c r="AK54" s="61"/>
      <c r="AL54" s="61"/>
      <c r="AM54" s="61"/>
      <c r="AN54" s="61"/>
      <c r="AU54" s="249">
        <v>88.2</v>
      </c>
      <c r="AV54" s="254">
        <f t="shared" si="5"/>
        <v>0</v>
      </c>
    </row>
    <row r="55" spans="1:48" ht="16.05" customHeight="1" x14ac:dyDescent="0.2">
      <c r="A55" s="126"/>
      <c r="B55" s="122">
        <v>121700</v>
      </c>
      <c r="C55" s="123" t="s">
        <v>204</v>
      </c>
      <c r="D55" s="122" t="s">
        <v>10</v>
      </c>
      <c r="E55" s="382" cm="1">
        <f t="array" ref="E55">IF(SUM(J55:L55)=(MIN(IF($J$49:$L$59 &lt;&gt;0,$J$49:$L$59))),SUM(J55:L55),0)</f>
        <v>0</v>
      </c>
      <c r="F55" s="192">
        <v>187</v>
      </c>
      <c r="G55" s="191">
        <f t="shared" si="8"/>
        <v>0</v>
      </c>
      <c r="H55" s="368">
        <f t="shared" si="7"/>
        <v>0</v>
      </c>
      <c r="I55" s="187">
        <f>J55*1700</f>
        <v>0</v>
      </c>
      <c r="J55" s="162">
        <f>IF(AND(E17="x",F22&lt;100,I22&lt;1700,SUM(J49:J54)&lt;1),1,0)</f>
        <v>0</v>
      </c>
      <c r="K55" s="162">
        <f>IF(AND(E17="x",F22&lt;200,I22&lt;3400,SUM(K49:K54)&lt;1),2,0)</f>
        <v>0</v>
      </c>
      <c r="L55" s="162">
        <f>IF(AND(E17="x",F22&lt;300,I22&lt;5100,SUM(L49:L54)&lt;1),3,0)</f>
        <v>0</v>
      </c>
      <c r="M55" s="187"/>
      <c r="N55" s="187"/>
      <c r="O55" s="187"/>
      <c r="P55" s="187"/>
      <c r="Q55" s="187"/>
      <c r="R55" s="187"/>
      <c r="S55" s="187"/>
      <c r="T55" s="187"/>
      <c r="U55" s="187"/>
      <c r="V55" s="187"/>
      <c r="W55" s="61"/>
      <c r="X55" s="61"/>
      <c r="Y55" s="61"/>
      <c r="Z55" s="61"/>
      <c r="AA55" s="61"/>
      <c r="AB55" s="61"/>
      <c r="AC55" s="61"/>
      <c r="AD55" s="61"/>
      <c r="AE55" s="61"/>
      <c r="AF55" s="61"/>
      <c r="AG55" s="61"/>
      <c r="AH55" s="63"/>
      <c r="AI55" s="63"/>
      <c r="AJ55" s="63"/>
      <c r="AK55" s="63"/>
      <c r="AL55" s="63"/>
      <c r="AM55" s="63"/>
      <c r="AN55" s="63"/>
      <c r="AU55" s="249">
        <v>100</v>
      </c>
      <c r="AV55" s="254">
        <f t="shared" si="5"/>
        <v>0</v>
      </c>
    </row>
    <row r="56" spans="1:48" ht="16.05" customHeight="1" thickBot="1" x14ac:dyDescent="0.25">
      <c r="A56" s="126"/>
      <c r="B56" s="122">
        <v>122100</v>
      </c>
      <c r="C56" s="123" t="s">
        <v>205</v>
      </c>
      <c r="D56" s="122" t="s">
        <v>10</v>
      </c>
      <c r="E56" s="382" cm="1">
        <f t="array" ref="E56">IF(SUM(J56:L56)=(MIN(IF($J$49:$L$59 &lt;&gt;0,$J$49:$L$59))),SUM(J56:L56),0)</f>
        <v>0</v>
      </c>
      <c r="F56" s="192">
        <v>233</v>
      </c>
      <c r="G56" s="191">
        <f t="shared" si="8"/>
        <v>0</v>
      </c>
      <c r="H56" s="368">
        <f t="shared" si="7"/>
        <v>0</v>
      </c>
      <c r="I56" s="187">
        <f>J56*2100</f>
        <v>0</v>
      </c>
      <c r="J56" s="162">
        <f>IF(AND(E17="x",F22&lt;123.5,I22&lt;2100,SUM(J49:J55)&lt;1),1,0)</f>
        <v>0</v>
      </c>
      <c r="K56" s="162">
        <f>IF(AND(E17="x",F22&lt;247,I22&lt;4200,SUM(K49:K55)&lt;1),2,0)</f>
        <v>0</v>
      </c>
      <c r="L56" s="162">
        <f>IF(AND(E17="x",F22&lt;370.5,I22&lt;6300,SUM(L49:L55)&lt;1),3,0)</f>
        <v>0</v>
      </c>
      <c r="M56" s="187"/>
      <c r="N56" s="187"/>
      <c r="O56" s="187"/>
      <c r="P56" s="187"/>
      <c r="Q56" s="187"/>
      <c r="R56" s="187"/>
      <c r="S56" s="187"/>
      <c r="T56" s="187"/>
      <c r="U56" s="187"/>
      <c r="V56" s="187"/>
      <c r="W56" s="61"/>
      <c r="X56" s="827" t="s">
        <v>274</v>
      </c>
      <c r="Y56" s="828"/>
      <c r="Z56" s="828"/>
      <c r="AA56" s="828"/>
      <c r="AB56" s="828"/>
      <c r="AC56" s="828"/>
      <c r="AD56" s="828"/>
      <c r="AE56" s="828"/>
      <c r="AF56" s="828"/>
      <c r="AG56" s="828"/>
      <c r="AH56" s="828"/>
      <c r="AI56" s="828"/>
      <c r="AJ56" s="828"/>
      <c r="AK56" s="828"/>
      <c r="AL56" s="828"/>
      <c r="AM56" s="828"/>
      <c r="AN56" s="828"/>
      <c r="AU56" s="249">
        <v>123.5</v>
      </c>
      <c r="AV56" s="254">
        <f t="shared" si="5"/>
        <v>0</v>
      </c>
    </row>
    <row r="57" spans="1:48" ht="16.05" customHeight="1" x14ac:dyDescent="0.2">
      <c r="A57" s="126"/>
      <c r="B57" s="122">
        <v>122600</v>
      </c>
      <c r="C57" s="123" t="s">
        <v>206</v>
      </c>
      <c r="D57" s="122" t="s">
        <v>10</v>
      </c>
      <c r="E57" s="382" cm="1">
        <f t="array" ref="E57">IF(SUM(J57:L57)=(MIN(IF($J$49:$L$59 &lt;&gt;0,$J$49:$L$59))),SUM(J57:L57),0)</f>
        <v>0</v>
      </c>
      <c r="F57" s="192">
        <v>280</v>
      </c>
      <c r="G57" s="191">
        <f t="shared" si="8"/>
        <v>0</v>
      </c>
      <c r="H57" s="368">
        <f t="shared" si="7"/>
        <v>0</v>
      </c>
      <c r="I57" s="187">
        <f>J57*2600</f>
        <v>0</v>
      </c>
      <c r="J57" s="162">
        <f>IF(AND(E17="x",F22&lt;152.9,I22&lt;2600,SUM(J49:J56)&lt;1),1,0)</f>
        <v>0</v>
      </c>
      <c r="K57" s="162">
        <f>IF(AND(E17="x",F22&lt;305.8,I22&lt;5200,SUM(K49:K56)&lt;1),2,0)</f>
        <v>0</v>
      </c>
      <c r="L57" s="162">
        <f>IF(AND(E17="x",F22&lt;458.7,I22&lt;7800,SUM(L49:L56)&lt;1),3,0)</f>
        <v>0</v>
      </c>
      <c r="M57" s="187"/>
      <c r="N57" s="187"/>
      <c r="O57" s="187"/>
      <c r="P57" s="187"/>
      <c r="Q57" s="187"/>
      <c r="R57" s="187"/>
      <c r="S57" s="187"/>
      <c r="T57" s="187"/>
      <c r="U57" s="187"/>
      <c r="V57" s="187"/>
      <c r="W57" s="61"/>
      <c r="X57" s="829" t="s">
        <v>166</v>
      </c>
      <c r="Y57" s="830"/>
      <c r="Z57" s="830"/>
      <c r="AA57" s="830"/>
      <c r="AB57" s="830"/>
      <c r="AC57" s="830"/>
      <c r="AD57" s="830"/>
      <c r="AE57" s="830"/>
      <c r="AF57" s="830"/>
      <c r="AG57" s="830"/>
      <c r="AH57" s="830"/>
      <c r="AI57" s="830"/>
      <c r="AJ57" s="830"/>
      <c r="AK57" s="830"/>
      <c r="AL57" s="830"/>
      <c r="AM57" s="830"/>
      <c r="AN57" s="831"/>
      <c r="AU57" s="249">
        <v>152.9</v>
      </c>
      <c r="AV57" s="254">
        <f t="shared" si="5"/>
        <v>0</v>
      </c>
    </row>
    <row r="58" spans="1:48" ht="16.05" customHeight="1" x14ac:dyDescent="0.2">
      <c r="A58" s="126"/>
      <c r="B58" s="122">
        <v>122900</v>
      </c>
      <c r="C58" s="123" t="s">
        <v>207</v>
      </c>
      <c r="D58" s="122" t="s">
        <v>10</v>
      </c>
      <c r="E58" s="382" cm="1">
        <f t="array" ref="E58">IF(SUM(J58:L58)=(MIN(IF($J$49:$L$59 &lt;&gt;0,$J$49:$L$59))),SUM(J58:L58),0)</f>
        <v>0</v>
      </c>
      <c r="F58" s="192">
        <v>310</v>
      </c>
      <c r="G58" s="191">
        <f t="shared" si="8"/>
        <v>0</v>
      </c>
      <c r="H58" s="368">
        <f t="shared" si="7"/>
        <v>0</v>
      </c>
      <c r="I58" s="187">
        <f>J58*2900</f>
        <v>0</v>
      </c>
      <c r="J58" s="162">
        <f>IF(AND(E17="x",F22&lt;170.6,I22&lt;2900,SUM(J49:J57)&lt;1),1,0)</f>
        <v>0</v>
      </c>
      <c r="K58" s="162">
        <f>IF(AND(E17="x",F22&lt;341.2,I22&lt;5800,SUM(K49:K57)&lt;1),2,0)</f>
        <v>0</v>
      </c>
      <c r="L58" s="162">
        <f>IF(AND(E17="x",F22&lt;511.8,I22&lt;8700,SUM(L49:L57)&lt;1),3,0)</f>
        <v>0</v>
      </c>
      <c r="M58" s="187"/>
      <c r="N58" s="187"/>
      <c r="O58" s="187"/>
      <c r="P58" s="187"/>
      <c r="Q58" s="187"/>
      <c r="R58" s="187"/>
      <c r="S58" s="187"/>
      <c r="T58" s="187"/>
      <c r="U58" s="187"/>
      <c r="V58" s="187"/>
      <c r="W58" s="842" t="s">
        <v>277</v>
      </c>
      <c r="X58" s="231" t="s">
        <v>231</v>
      </c>
      <c r="Y58" s="222" t="s">
        <v>224</v>
      </c>
      <c r="Z58" s="222" t="s">
        <v>225</v>
      </c>
      <c r="AA58" s="222">
        <v>1</v>
      </c>
      <c r="AB58" s="222" t="s">
        <v>226</v>
      </c>
      <c r="AC58" s="222" t="s">
        <v>227</v>
      </c>
      <c r="AD58" s="222">
        <v>2</v>
      </c>
      <c r="AE58" s="222" t="s">
        <v>228</v>
      </c>
      <c r="AF58" s="222">
        <v>3</v>
      </c>
      <c r="AG58" s="222" t="s">
        <v>229</v>
      </c>
      <c r="AH58" s="222">
        <v>4</v>
      </c>
      <c r="AI58" s="222" t="s">
        <v>230</v>
      </c>
      <c r="AJ58" s="222">
        <v>5</v>
      </c>
      <c r="AK58" s="222">
        <v>6</v>
      </c>
      <c r="AL58" s="222">
        <v>8</v>
      </c>
      <c r="AM58" s="222">
        <v>10</v>
      </c>
      <c r="AN58" s="232">
        <v>12</v>
      </c>
      <c r="AU58" s="249">
        <v>170.6</v>
      </c>
      <c r="AV58" s="254">
        <f t="shared" si="5"/>
        <v>0</v>
      </c>
    </row>
    <row r="59" spans="1:48" ht="16.05" customHeight="1" thickBot="1" x14ac:dyDescent="0.25">
      <c r="A59" s="136"/>
      <c r="B59" s="139">
        <v>123200</v>
      </c>
      <c r="C59" s="164" t="s">
        <v>208</v>
      </c>
      <c r="D59" s="139" t="s">
        <v>10</v>
      </c>
      <c r="E59" s="383" cm="1">
        <f t="array" ref="E59">IF(SUM(J59:L59)=(MIN(IF($J$49:$L$59 &lt;&gt;0,$J$49:$L$59))),SUM(J59:L59),0)</f>
        <v>0</v>
      </c>
      <c r="F59" s="193">
        <v>355</v>
      </c>
      <c r="G59" s="194">
        <f t="shared" si="8"/>
        <v>0</v>
      </c>
      <c r="H59" s="368">
        <f t="shared" si="7"/>
        <v>0</v>
      </c>
      <c r="I59" s="187">
        <f>J59*3300</f>
        <v>0</v>
      </c>
      <c r="J59" s="162">
        <f>IF(AND(E17="x",F22&lt;194.1,I22&lt;3300,SUM(J49:J58)&lt;1),1,0)</f>
        <v>0</v>
      </c>
      <c r="K59" s="162">
        <f>IF(AND(E17="x",F22&lt;388.2,I22&lt;6600,SUM(K49:K58)&lt;1),2,0)</f>
        <v>0</v>
      </c>
      <c r="L59" s="162">
        <f>IF(AND(E17="x",F22&lt;582.3,I22&lt;9900,SUM(L49:L58)&lt;1),3,0)</f>
        <v>0</v>
      </c>
      <c r="M59" s="187"/>
      <c r="N59" s="187"/>
      <c r="O59" s="187"/>
      <c r="P59" s="187"/>
      <c r="Q59" s="187"/>
      <c r="R59" s="187"/>
      <c r="S59" s="187"/>
      <c r="T59" s="187"/>
      <c r="U59" s="187"/>
      <c r="V59" s="187"/>
      <c r="W59" s="842"/>
      <c r="X59" s="233" t="s">
        <v>197</v>
      </c>
      <c r="Y59" s="223">
        <v>21</v>
      </c>
      <c r="Z59" s="223">
        <v>27</v>
      </c>
      <c r="AA59" s="223">
        <v>34</v>
      </c>
      <c r="AB59" s="223">
        <v>42</v>
      </c>
      <c r="AC59" s="223">
        <v>48</v>
      </c>
      <c r="AD59" s="223">
        <v>60</v>
      </c>
      <c r="AE59" s="223">
        <v>73</v>
      </c>
      <c r="AF59" s="223">
        <v>89</v>
      </c>
      <c r="AG59" s="223">
        <v>102</v>
      </c>
      <c r="AH59" s="223">
        <v>114</v>
      </c>
      <c r="AI59" s="223">
        <v>127</v>
      </c>
      <c r="AJ59" s="223">
        <v>141</v>
      </c>
      <c r="AK59" s="223">
        <v>168</v>
      </c>
      <c r="AL59" s="223">
        <v>219</v>
      </c>
      <c r="AM59" s="223">
        <v>273</v>
      </c>
      <c r="AN59" s="224">
        <v>324</v>
      </c>
      <c r="AU59" s="250">
        <v>194.1</v>
      </c>
      <c r="AV59" s="254">
        <f t="shared" si="5"/>
        <v>0</v>
      </c>
    </row>
    <row r="60" spans="1:48" ht="16.05" customHeight="1" thickBot="1" x14ac:dyDescent="0.25">
      <c r="A60" s="647" t="s">
        <v>238</v>
      </c>
      <c r="B60" s="246"/>
      <c r="C60" s="246"/>
      <c r="D60" s="246"/>
      <c r="E60" s="246"/>
      <c r="F60" s="246"/>
      <c r="G60" s="166"/>
      <c r="H60" s="684">
        <f>SUM(H61:H70)</f>
        <v>0</v>
      </c>
      <c r="I60" s="187"/>
      <c r="J60" s="187"/>
      <c r="K60" s="187"/>
      <c r="L60" s="187"/>
      <c r="M60" s="187"/>
      <c r="N60" s="187"/>
      <c r="O60" s="187"/>
      <c r="P60" s="187"/>
      <c r="Q60" s="187"/>
      <c r="R60" s="187"/>
      <c r="S60" s="187"/>
      <c r="T60" s="187"/>
      <c r="U60" s="187"/>
      <c r="V60" s="187"/>
      <c r="W60" s="842"/>
      <c r="X60" s="202" t="s">
        <v>196</v>
      </c>
      <c r="Y60" s="225">
        <v>15</v>
      </c>
      <c r="Z60" s="225">
        <v>20</v>
      </c>
      <c r="AA60" s="225">
        <v>25</v>
      </c>
      <c r="AB60" s="225">
        <v>32</v>
      </c>
      <c r="AC60" s="225">
        <v>40</v>
      </c>
      <c r="AD60" s="225">
        <v>50</v>
      </c>
      <c r="AE60" s="225">
        <v>65</v>
      </c>
      <c r="AF60" s="225">
        <v>80</v>
      </c>
      <c r="AG60" s="225">
        <v>90</v>
      </c>
      <c r="AH60" s="225">
        <v>100</v>
      </c>
      <c r="AI60" s="225">
        <v>115</v>
      </c>
      <c r="AJ60" s="225">
        <v>125</v>
      </c>
      <c r="AK60" s="225">
        <v>150</v>
      </c>
      <c r="AL60" s="225">
        <v>200</v>
      </c>
      <c r="AM60" s="225">
        <v>250</v>
      </c>
      <c r="AN60" s="226">
        <v>300</v>
      </c>
      <c r="AU60" s="246"/>
      <c r="AV60" s="254">
        <f t="shared" si="5"/>
        <v>0</v>
      </c>
    </row>
    <row r="61" spans="1:48" ht="16.05" customHeight="1" thickBot="1" x14ac:dyDescent="0.25">
      <c r="A61" s="167"/>
      <c r="B61" s="379">
        <v>120107</v>
      </c>
      <c r="C61" s="380" t="s">
        <v>211</v>
      </c>
      <c r="D61" s="168" t="s">
        <v>10</v>
      </c>
      <c r="E61" s="384" cm="1">
        <f t="array" ref="E61">IF(SUM(J61:L61)=(MIN(IF($J$61:$L$70 &lt;&gt;0,$J$61:$L$70))),SUM(J61:L61),0)</f>
        <v>0</v>
      </c>
      <c r="F61" s="240">
        <v>34</v>
      </c>
      <c r="G61" s="189">
        <f>E61*F61</f>
        <v>0</v>
      </c>
      <c r="H61" s="368">
        <f t="shared" ref="H61:H69" si="9">E61</f>
        <v>0</v>
      </c>
      <c r="I61" s="187">
        <f>J61*100</f>
        <v>0</v>
      </c>
      <c r="J61" s="162">
        <f>IF(AND(E16="x",F22&lt;10,I22&lt;100),1,0)</f>
        <v>0</v>
      </c>
      <c r="K61" s="162">
        <f>IF(AND(E16="x",F22&lt;20,I22&lt;200),2,0)</f>
        <v>0</v>
      </c>
      <c r="L61" s="162">
        <f>IF(AND(E16="x",F22&lt;30,I22&lt;300),3,0)</f>
        <v>0</v>
      </c>
      <c r="M61" s="187"/>
      <c r="N61" s="187"/>
      <c r="O61" s="187"/>
      <c r="P61" s="187"/>
      <c r="Q61" s="187"/>
      <c r="R61" s="187"/>
      <c r="S61" s="187"/>
      <c r="T61" s="187"/>
      <c r="U61" s="187"/>
      <c r="V61" s="187"/>
      <c r="W61" s="843"/>
      <c r="X61" s="230" t="s">
        <v>223</v>
      </c>
      <c r="Y61" s="832" t="s">
        <v>242</v>
      </c>
      <c r="Z61" s="833"/>
      <c r="AA61" s="833"/>
      <c r="AB61" s="833"/>
      <c r="AC61" s="833"/>
      <c r="AD61" s="833"/>
      <c r="AE61" s="833"/>
      <c r="AF61" s="833"/>
      <c r="AG61" s="833"/>
      <c r="AH61" s="833"/>
      <c r="AI61" s="833"/>
      <c r="AJ61" s="833"/>
      <c r="AK61" s="833"/>
      <c r="AL61" s="833"/>
      <c r="AM61" s="833"/>
      <c r="AN61" s="834"/>
      <c r="AU61" s="251">
        <v>10</v>
      </c>
      <c r="AV61" s="254">
        <f t="shared" si="5"/>
        <v>0</v>
      </c>
    </row>
    <row r="62" spans="1:48" ht="16.05" customHeight="1" x14ac:dyDescent="0.2">
      <c r="A62" s="126"/>
      <c r="B62" s="118">
        <v>120207</v>
      </c>
      <c r="C62" s="127" t="s">
        <v>212</v>
      </c>
      <c r="D62" s="122" t="s">
        <v>10</v>
      </c>
      <c r="E62" s="382" cm="1">
        <f t="array" ref="E62">IF(SUM(J62:L62)=(MIN(IF($J$61:$L$70 &lt;&gt;0,$J$61:$L$70))),SUM(J62:L62),0)</f>
        <v>0</v>
      </c>
      <c r="F62" s="192">
        <v>48</v>
      </c>
      <c r="G62" s="191">
        <f t="shared" ref="G62:G70" si="10">E62*F62</f>
        <v>0</v>
      </c>
      <c r="H62" s="368">
        <f t="shared" si="9"/>
        <v>0</v>
      </c>
      <c r="I62" s="187">
        <f>J62*200</f>
        <v>0</v>
      </c>
      <c r="J62" s="162">
        <f>IF(AND(E16="x",F22&lt;20,I22&lt;200,SUM(J61:J61)&lt;1),1,0)</f>
        <v>0</v>
      </c>
      <c r="K62" s="162">
        <f>IF(AND(E16="x",F22&lt;40,I22&lt;400,SUM(K61)&lt;1),2,0)</f>
        <v>0</v>
      </c>
      <c r="L62" s="162">
        <f>IF(AND(E16="x",F22&lt;60,I22&lt;600,SUM(L61)&lt;1),3,0)</f>
        <v>0</v>
      </c>
      <c r="M62" s="187"/>
      <c r="N62" s="187"/>
      <c r="O62" s="187"/>
      <c r="P62" s="187"/>
      <c r="Q62" s="187"/>
      <c r="R62" s="187"/>
      <c r="S62" s="187"/>
      <c r="T62" s="187"/>
      <c r="U62" s="187"/>
      <c r="V62" s="187"/>
      <c r="W62" s="269">
        <v>20</v>
      </c>
      <c r="X62" s="218">
        <v>-20</v>
      </c>
      <c r="Y62" s="219">
        <f t="shared" ref="Y62:AN62" si="11">IF(Y29&gt;=17,ROUNDUP($F$22*Y29/17,0),$F$22)</f>
        <v>23</v>
      </c>
      <c r="Z62" s="220">
        <f t="shared" si="11"/>
        <v>23</v>
      </c>
      <c r="AA62" s="220">
        <f t="shared" si="11"/>
        <v>23</v>
      </c>
      <c r="AB62" s="220">
        <f t="shared" si="11"/>
        <v>23</v>
      </c>
      <c r="AC62" s="220">
        <f t="shared" si="11"/>
        <v>23</v>
      </c>
      <c r="AD62" s="220">
        <f t="shared" si="11"/>
        <v>23</v>
      </c>
      <c r="AE62" s="220">
        <f t="shared" si="11"/>
        <v>26</v>
      </c>
      <c r="AF62" s="220">
        <f t="shared" si="11"/>
        <v>30</v>
      </c>
      <c r="AG62" s="220">
        <f t="shared" si="11"/>
        <v>34</v>
      </c>
      <c r="AH62" s="220">
        <f t="shared" si="11"/>
        <v>37</v>
      </c>
      <c r="AI62" s="220">
        <f t="shared" si="11"/>
        <v>41</v>
      </c>
      <c r="AJ62" s="220">
        <f t="shared" si="11"/>
        <v>45</v>
      </c>
      <c r="AK62" s="220">
        <f t="shared" si="11"/>
        <v>52</v>
      </c>
      <c r="AL62" s="220">
        <f t="shared" si="11"/>
        <v>67</v>
      </c>
      <c r="AM62" s="220">
        <f t="shared" si="11"/>
        <v>82</v>
      </c>
      <c r="AN62" s="221">
        <f t="shared" si="11"/>
        <v>95</v>
      </c>
      <c r="AU62" s="252">
        <v>20</v>
      </c>
      <c r="AV62" s="254">
        <f t="shared" si="5"/>
        <v>0</v>
      </c>
    </row>
    <row r="63" spans="1:48" ht="16.05" customHeight="1" x14ac:dyDescent="0.2">
      <c r="A63" s="126"/>
      <c r="B63" s="118">
        <v>120307</v>
      </c>
      <c r="C63" s="127" t="s">
        <v>213</v>
      </c>
      <c r="D63" s="122" t="s">
        <v>10</v>
      </c>
      <c r="E63" s="382" cm="1">
        <f t="array" ref="E63">IF(SUM(J63:L63)=(MIN(IF($J$61:$L$70 &lt;&gt;0,$J$61:$L$70))),SUM(J63:L63),0)</f>
        <v>0</v>
      </c>
      <c r="F63" s="192">
        <v>64</v>
      </c>
      <c r="G63" s="191">
        <f t="shared" si="10"/>
        <v>0</v>
      </c>
      <c r="H63" s="368">
        <f t="shared" si="9"/>
        <v>0</v>
      </c>
      <c r="I63" s="187">
        <f>J63*300</f>
        <v>0</v>
      </c>
      <c r="J63" s="162">
        <f>IF(AND(E16="x",F22&lt;30,I22&lt;300,SUM(J61:J62)&lt;1),1,0)</f>
        <v>0</v>
      </c>
      <c r="K63" s="162">
        <f>IF(AND(E16="x",F22&lt;60,I22&lt;600,SUM(K61:K62)&lt;1),2,0)</f>
        <v>0</v>
      </c>
      <c r="L63" s="162">
        <f>IF(AND(E16="x",F22&lt;90,I22&lt;900,SUM(L61:L62)&lt;1),3,0)</f>
        <v>0</v>
      </c>
      <c r="M63" s="187"/>
      <c r="N63" s="187"/>
      <c r="O63" s="187"/>
      <c r="P63" s="187"/>
      <c r="Q63" s="187"/>
      <c r="R63" s="187"/>
      <c r="S63" s="187"/>
      <c r="T63" s="187"/>
      <c r="U63" s="187"/>
      <c r="V63" s="187"/>
      <c r="W63" s="145">
        <v>20</v>
      </c>
      <c r="X63" s="213">
        <v>-25</v>
      </c>
      <c r="Y63" s="216">
        <f t="shared" ref="Y63:AN63" si="12">IF(Y30&gt;=17,ROUNDUP($F$22*Y30/17,0),$F$22)</f>
        <v>23</v>
      </c>
      <c r="Z63" s="150">
        <f t="shared" si="12"/>
        <v>23</v>
      </c>
      <c r="AA63" s="150">
        <f t="shared" si="12"/>
        <v>23</v>
      </c>
      <c r="AB63" s="150">
        <f t="shared" si="12"/>
        <v>23</v>
      </c>
      <c r="AC63" s="150">
        <f t="shared" si="12"/>
        <v>23</v>
      </c>
      <c r="AD63" s="150">
        <f t="shared" si="12"/>
        <v>26</v>
      </c>
      <c r="AE63" s="150">
        <f t="shared" si="12"/>
        <v>31</v>
      </c>
      <c r="AF63" s="150">
        <f t="shared" si="12"/>
        <v>36</v>
      </c>
      <c r="AG63" s="150">
        <f t="shared" si="12"/>
        <v>41</v>
      </c>
      <c r="AH63" s="150">
        <f t="shared" si="12"/>
        <v>45</v>
      </c>
      <c r="AI63" s="150">
        <f t="shared" si="12"/>
        <v>49</v>
      </c>
      <c r="AJ63" s="150">
        <f t="shared" si="12"/>
        <v>53</v>
      </c>
      <c r="AK63" s="150">
        <f t="shared" si="12"/>
        <v>63</v>
      </c>
      <c r="AL63" s="150">
        <f t="shared" si="12"/>
        <v>79</v>
      </c>
      <c r="AM63" s="150">
        <f t="shared" si="12"/>
        <v>98</v>
      </c>
      <c r="AN63" s="153">
        <f t="shared" si="12"/>
        <v>114</v>
      </c>
      <c r="AU63" s="252">
        <v>30</v>
      </c>
      <c r="AV63" s="254">
        <f t="shared" si="5"/>
        <v>0</v>
      </c>
    </row>
    <row r="64" spans="1:48" ht="16.05" customHeight="1" thickBot="1" x14ac:dyDescent="0.25">
      <c r="A64" s="126"/>
      <c r="B64" s="118">
        <v>120407</v>
      </c>
      <c r="C64" s="127" t="s">
        <v>214</v>
      </c>
      <c r="D64" s="122" t="s">
        <v>10</v>
      </c>
      <c r="E64" s="382" cm="1">
        <f t="array" ref="E64">IF(SUM(J64:L64)=(MIN(IF($J$61:$L$70 &lt;&gt;0,$J$61:$L$70))),SUM(J64:L64),0)</f>
        <v>0</v>
      </c>
      <c r="F64" s="192">
        <v>79</v>
      </c>
      <c r="G64" s="191">
        <f t="shared" si="10"/>
        <v>0</v>
      </c>
      <c r="H64" s="368">
        <f t="shared" si="9"/>
        <v>0</v>
      </c>
      <c r="I64" s="187">
        <f>J64*400</f>
        <v>0</v>
      </c>
      <c r="J64" s="163">
        <f>IF(AND(E16="x",F22&lt;40,I22&lt;400,SUM(J61:J63)&lt;1),1,0)</f>
        <v>0</v>
      </c>
      <c r="K64" s="163">
        <f>IF(AND(E16="x",F22&lt;80,I22&lt;800,SUM(K61:K63)&lt;1),2,0)</f>
        <v>0</v>
      </c>
      <c r="L64" s="163">
        <f>IF(AND(E16="x",F22&lt;120,I22&lt;1200,SUM(L61:L63)&lt;1),3,0)</f>
        <v>0</v>
      </c>
      <c r="M64" s="187"/>
      <c r="N64" s="187"/>
      <c r="O64" s="187"/>
      <c r="P64" s="187"/>
      <c r="Q64" s="187"/>
      <c r="R64" s="187"/>
      <c r="S64" s="187"/>
      <c r="T64" s="187"/>
      <c r="U64" s="187"/>
      <c r="V64" s="187"/>
      <c r="W64" s="268">
        <v>20</v>
      </c>
      <c r="X64" s="214">
        <v>-35</v>
      </c>
      <c r="Y64" s="217">
        <f t="shared" ref="Y64:AN64" si="13">IF(Y31&gt;=17,ROUNDUP($F$22*Y31/17,0),$F$22)</f>
        <v>23</v>
      </c>
      <c r="Z64" s="154">
        <f t="shared" si="13"/>
        <v>23</v>
      </c>
      <c r="AA64" s="154">
        <f t="shared" si="13"/>
        <v>23</v>
      </c>
      <c r="AB64" s="154">
        <f t="shared" si="13"/>
        <v>27</v>
      </c>
      <c r="AC64" s="154">
        <f t="shared" si="13"/>
        <v>30</v>
      </c>
      <c r="AD64" s="154">
        <f t="shared" si="13"/>
        <v>35</v>
      </c>
      <c r="AE64" s="154">
        <f t="shared" si="13"/>
        <v>41</v>
      </c>
      <c r="AF64" s="154">
        <f t="shared" si="13"/>
        <v>48</v>
      </c>
      <c r="AG64" s="154">
        <f t="shared" si="13"/>
        <v>53</v>
      </c>
      <c r="AH64" s="154">
        <f t="shared" si="13"/>
        <v>59</v>
      </c>
      <c r="AI64" s="154">
        <f t="shared" si="13"/>
        <v>65</v>
      </c>
      <c r="AJ64" s="154">
        <f t="shared" si="13"/>
        <v>71</v>
      </c>
      <c r="AK64" s="154">
        <f t="shared" si="13"/>
        <v>83</v>
      </c>
      <c r="AL64" s="154">
        <f t="shared" si="13"/>
        <v>106</v>
      </c>
      <c r="AM64" s="154">
        <f t="shared" si="13"/>
        <v>130</v>
      </c>
      <c r="AN64" s="155">
        <f t="shared" si="13"/>
        <v>152</v>
      </c>
      <c r="AU64" s="252">
        <v>40</v>
      </c>
      <c r="AV64" s="254">
        <f t="shared" si="5"/>
        <v>0</v>
      </c>
    </row>
    <row r="65" spans="1:48" ht="16.05" customHeight="1" x14ac:dyDescent="0.2">
      <c r="A65" s="126"/>
      <c r="B65" s="118">
        <v>120607</v>
      </c>
      <c r="C65" s="127" t="s">
        <v>215</v>
      </c>
      <c r="D65" s="122" t="s">
        <v>10</v>
      </c>
      <c r="E65" s="382" cm="1">
        <f t="array" ref="E65">IF(SUM(J65:L65)=(MIN(IF($J$61:$L$70 &lt;&gt;0,$J$61:$L$70))),SUM(J65:L65),0)</f>
        <v>0</v>
      </c>
      <c r="F65" s="192">
        <v>114</v>
      </c>
      <c r="G65" s="191">
        <f t="shared" si="10"/>
        <v>0</v>
      </c>
      <c r="H65" s="368">
        <f t="shared" si="9"/>
        <v>0</v>
      </c>
      <c r="I65" s="187">
        <f>J65*600</f>
        <v>0</v>
      </c>
      <c r="J65" s="163">
        <f>IF(AND(E16="x",F22&lt;60,I22&lt;600,SUM(J61:J64)&lt;1),1,0)</f>
        <v>0</v>
      </c>
      <c r="K65" s="163">
        <f>IF(AND(E16="x",F22&lt;120,I22&lt;1200,SUM(K61:K64)&lt;1),2,0)</f>
        <v>0</v>
      </c>
      <c r="L65" s="163">
        <f>IF(AND(E16="x",F22&lt;180,I22&lt;1800,SUM(L61:L64)&lt;1),3,0)</f>
        <v>0</v>
      </c>
      <c r="M65" s="187"/>
      <c r="N65" s="187"/>
      <c r="O65" s="187"/>
      <c r="P65" s="187"/>
      <c r="Q65" s="187"/>
      <c r="R65" s="187"/>
      <c r="S65" s="187"/>
      <c r="T65" s="187"/>
      <c r="U65" s="187"/>
      <c r="V65" s="187"/>
      <c r="W65" s="269">
        <v>30</v>
      </c>
      <c r="X65" s="212">
        <v>-20</v>
      </c>
      <c r="Y65" s="215">
        <f t="shared" ref="Y65:AN65" si="14">IF(Y32&gt;=17,ROUNDUP($F$22*Y32/17,0),$F$22)</f>
        <v>23</v>
      </c>
      <c r="Z65" s="151">
        <f t="shared" si="14"/>
        <v>23</v>
      </c>
      <c r="AA65" s="151">
        <f t="shared" si="14"/>
        <v>23</v>
      </c>
      <c r="AB65" s="151">
        <f t="shared" si="14"/>
        <v>23</v>
      </c>
      <c r="AC65" s="151">
        <f t="shared" si="14"/>
        <v>23</v>
      </c>
      <c r="AD65" s="151">
        <f t="shared" si="14"/>
        <v>23</v>
      </c>
      <c r="AE65" s="151">
        <f t="shared" si="14"/>
        <v>23</v>
      </c>
      <c r="AF65" s="151">
        <f t="shared" si="14"/>
        <v>23</v>
      </c>
      <c r="AG65" s="151">
        <f t="shared" si="14"/>
        <v>24</v>
      </c>
      <c r="AH65" s="151">
        <f t="shared" si="14"/>
        <v>27</v>
      </c>
      <c r="AI65" s="151">
        <f t="shared" si="14"/>
        <v>29</v>
      </c>
      <c r="AJ65" s="151">
        <f t="shared" si="14"/>
        <v>32</v>
      </c>
      <c r="AK65" s="151">
        <f t="shared" si="14"/>
        <v>37</v>
      </c>
      <c r="AL65" s="151">
        <f t="shared" si="14"/>
        <v>46</v>
      </c>
      <c r="AM65" s="151">
        <f t="shared" si="14"/>
        <v>56</v>
      </c>
      <c r="AN65" s="152">
        <f t="shared" si="14"/>
        <v>65</v>
      </c>
      <c r="AU65" s="252">
        <v>60</v>
      </c>
      <c r="AV65" s="254">
        <f t="shared" ref="AV65:AV70" si="15">AU65*E65</f>
        <v>0</v>
      </c>
    </row>
    <row r="66" spans="1:48" ht="16.05" customHeight="1" x14ac:dyDescent="0.2">
      <c r="A66" s="126"/>
      <c r="B66" s="118">
        <v>120807</v>
      </c>
      <c r="C66" s="127" t="s">
        <v>216</v>
      </c>
      <c r="D66" s="122" t="s">
        <v>10</v>
      </c>
      <c r="E66" s="382" cm="1">
        <f t="array" ref="E66">IF(SUM(J66:L66)=(MIN(IF($J$61:$L$70 &lt;&gt;0,$J$61:$L$70))),SUM(J66:L66),0)</f>
        <v>0</v>
      </c>
      <c r="F66" s="192">
        <v>149</v>
      </c>
      <c r="G66" s="191">
        <f t="shared" si="10"/>
        <v>0</v>
      </c>
      <c r="H66" s="368">
        <f t="shared" si="9"/>
        <v>0</v>
      </c>
      <c r="I66" s="187">
        <f>J66*800</f>
        <v>0</v>
      </c>
      <c r="J66" s="163">
        <f>IF(AND(E16="x",F22&lt;80,I22&lt;800,SUM(J61:J65)&lt;1),1,0)</f>
        <v>0</v>
      </c>
      <c r="K66" s="163">
        <f>IF(AND(E16="x",F22&lt;160,I22&lt;1600,SUM(K61:K65)&lt;1),2,0)</f>
        <v>0</v>
      </c>
      <c r="L66" s="163">
        <f>IF(AND(E16="x",F22&lt;240,I22&lt;2400,SUM(L61:L65)&lt;1),3,0)</f>
        <v>0</v>
      </c>
      <c r="M66" s="187"/>
      <c r="N66" s="187"/>
      <c r="O66" s="187"/>
      <c r="P66" s="187"/>
      <c r="Q66" s="187"/>
      <c r="R66" s="187"/>
      <c r="S66" s="187"/>
      <c r="T66" s="187"/>
      <c r="U66" s="187"/>
      <c r="V66" s="187"/>
      <c r="W66" s="145">
        <v>30</v>
      </c>
      <c r="X66" s="213">
        <v>-25</v>
      </c>
      <c r="Y66" s="216">
        <f t="shared" ref="Y66:AN66" si="16">IF(Y33&gt;=17,ROUNDUP($F$22*Y33/17,0),$F$22)</f>
        <v>23</v>
      </c>
      <c r="Z66" s="150">
        <f t="shared" si="16"/>
        <v>23</v>
      </c>
      <c r="AA66" s="150">
        <f t="shared" si="16"/>
        <v>23</v>
      </c>
      <c r="AB66" s="150">
        <f t="shared" si="16"/>
        <v>23</v>
      </c>
      <c r="AC66" s="150">
        <f t="shared" si="16"/>
        <v>23</v>
      </c>
      <c r="AD66" s="150">
        <f t="shared" si="16"/>
        <v>23</v>
      </c>
      <c r="AE66" s="150">
        <f t="shared" si="16"/>
        <v>23</v>
      </c>
      <c r="AF66" s="150">
        <f t="shared" si="16"/>
        <v>23</v>
      </c>
      <c r="AG66" s="150">
        <f t="shared" si="16"/>
        <v>24</v>
      </c>
      <c r="AH66" s="150">
        <f t="shared" si="16"/>
        <v>27</v>
      </c>
      <c r="AI66" s="150">
        <f t="shared" si="16"/>
        <v>29</v>
      </c>
      <c r="AJ66" s="150">
        <f t="shared" si="16"/>
        <v>32</v>
      </c>
      <c r="AK66" s="150">
        <f t="shared" si="16"/>
        <v>37</v>
      </c>
      <c r="AL66" s="150">
        <f t="shared" si="16"/>
        <v>46</v>
      </c>
      <c r="AM66" s="150">
        <f t="shared" si="16"/>
        <v>56</v>
      </c>
      <c r="AN66" s="153">
        <f t="shared" si="16"/>
        <v>65</v>
      </c>
      <c r="AU66" s="252">
        <v>80</v>
      </c>
      <c r="AV66" s="254">
        <f t="shared" si="15"/>
        <v>0</v>
      </c>
    </row>
    <row r="67" spans="1:48" ht="16.05" customHeight="1" thickBot="1" x14ac:dyDescent="0.25">
      <c r="A67" s="126"/>
      <c r="B67" s="118">
        <v>121007</v>
      </c>
      <c r="C67" s="127" t="s">
        <v>217</v>
      </c>
      <c r="D67" s="122" t="s">
        <v>10</v>
      </c>
      <c r="E67" s="382" cm="1">
        <f t="array" ref="E67">IF(SUM(J67:L67)=(MIN(IF($J$61:$L$70 &lt;&gt;0,$J$61:$L$70))),SUM(J67:L67),0)</f>
        <v>0</v>
      </c>
      <c r="F67" s="192">
        <v>181</v>
      </c>
      <c r="G67" s="191">
        <f t="shared" si="10"/>
        <v>0</v>
      </c>
      <c r="H67" s="368">
        <f t="shared" si="9"/>
        <v>0</v>
      </c>
      <c r="I67" s="187">
        <f>J67*1000</f>
        <v>0</v>
      </c>
      <c r="J67" s="163">
        <f>IF(AND(E16="x",F22&lt;100,I22&lt;1000,SUM(J61:J66)&lt;1),1,0)</f>
        <v>0</v>
      </c>
      <c r="K67" s="163">
        <f>IF(AND(E16="x",F22&lt;200,I22&lt;2000,SUM(K61:K66)&lt;1),2,0)</f>
        <v>0</v>
      </c>
      <c r="L67" s="163">
        <f>IF(AND(E16="x",F22&lt;300,I22&lt;3000,SUM(L61:L66)&lt;1),3,0)</f>
        <v>0</v>
      </c>
      <c r="M67" s="187"/>
      <c r="N67" s="187"/>
      <c r="O67" s="187"/>
      <c r="P67" s="187"/>
      <c r="Q67" s="187"/>
      <c r="R67" s="187"/>
      <c r="S67" s="187"/>
      <c r="T67" s="187"/>
      <c r="U67" s="187"/>
      <c r="V67" s="187"/>
      <c r="W67" s="268">
        <v>30</v>
      </c>
      <c r="X67" s="214">
        <v>-35</v>
      </c>
      <c r="Y67" s="217">
        <f t="shared" ref="Y67:AN67" si="17">IF(Y34&gt;=17,ROUNDUP($F$22*Y34/17,0),$F$22)</f>
        <v>23</v>
      </c>
      <c r="Z67" s="154">
        <f t="shared" si="17"/>
        <v>23</v>
      </c>
      <c r="AA67" s="154">
        <f t="shared" si="17"/>
        <v>23</v>
      </c>
      <c r="AB67" s="154">
        <f t="shared" si="17"/>
        <v>23</v>
      </c>
      <c r="AC67" s="154">
        <f t="shared" si="17"/>
        <v>23</v>
      </c>
      <c r="AD67" s="154">
        <f t="shared" si="17"/>
        <v>23</v>
      </c>
      <c r="AE67" s="154">
        <f t="shared" si="17"/>
        <v>23</v>
      </c>
      <c r="AF67" s="154">
        <f t="shared" si="17"/>
        <v>26</v>
      </c>
      <c r="AG67" s="154">
        <f t="shared" si="17"/>
        <v>29</v>
      </c>
      <c r="AH67" s="154">
        <f t="shared" si="17"/>
        <v>32</v>
      </c>
      <c r="AI67" s="154">
        <f t="shared" si="17"/>
        <v>35</v>
      </c>
      <c r="AJ67" s="154">
        <f t="shared" si="17"/>
        <v>38</v>
      </c>
      <c r="AK67" s="154">
        <f t="shared" si="17"/>
        <v>44</v>
      </c>
      <c r="AL67" s="154">
        <f t="shared" si="17"/>
        <v>55</v>
      </c>
      <c r="AM67" s="154">
        <f t="shared" si="17"/>
        <v>67</v>
      </c>
      <c r="AN67" s="155">
        <f t="shared" si="17"/>
        <v>79</v>
      </c>
      <c r="AU67" s="252">
        <v>100</v>
      </c>
      <c r="AV67" s="254">
        <f t="shared" si="15"/>
        <v>0</v>
      </c>
    </row>
    <row r="68" spans="1:48" ht="16.05" customHeight="1" x14ac:dyDescent="0.2">
      <c r="A68" s="126"/>
      <c r="B68" s="118">
        <v>121207</v>
      </c>
      <c r="C68" s="127" t="s">
        <v>218</v>
      </c>
      <c r="D68" s="122" t="s">
        <v>10</v>
      </c>
      <c r="E68" s="382" cm="1">
        <f t="array" ref="E68">IF(SUM(J68:L68)=(MIN(IF($J$61:$L$70 &lt;&gt;0,$J$61:$L$70))),SUM(J68:L68),0)</f>
        <v>0</v>
      </c>
      <c r="F68" s="192">
        <v>233</v>
      </c>
      <c r="G68" s="191">
        <f t="shared" si="10"/>
        <v>0</v>
      </c>
      <c r="H68" s="368">
        <f t="shared" si="9"/>
        <v>0</v>
      </c>
      <c r="I68" s="187">
        <f>J68*1200</f>
        <v>0</v>
      </c>
      <c r="J68" s="163">
        <f>IF(AND(E16="x",F22&lt;120,I22&lt;1200,SUM(J61:J67)&lt;1),1,0)</f>
        <v>0</v>
      </c>
      <c r="K68" s="163">
        <f>IF(AND(E16="x",F22&lt;240,I22&lt;2400,SUM(K61:K67)&lt;1),2,0)</f>
        <v>0</v>
      </c>
      <c r="L68" s="163">
        <f>IF(AND(E16="x",F22&lt;360,I22&lt;3600,SUM(L61:L67)&lt;1),3,0)</f>
        <v>0</v>
      </c>
      <c r="M68" s="187"/>
      <c r="N68" s="187"/>
      <c r="O68" s="187"/>
      <c r="P68" s="187"/>
      <c r="Q68" s="187"/>
      <c r="R68" s="187"/>
      <c r="S68" s="187"/>
      <c r="T68" s="187"/>
      <c r="U68" s="187"/>
      <c r="V68" s="187"/>
      <c r="W68" s="269">
        <v>50</v>
      </c>
      <c r="X68" s="218">
        <v>-20</v>
      </c>
      <c r="Y68" s="219">
        <f t="shared" ref="Y68:AN68" si="18">IF(Y35&gt;=17,ROUNDUP($F$22*Y35/17,0),$F$22)</f>
        <v>23</v>
      </c>
      <c r="Z68" s="220">
        <f t="shared" si="18"/>
        <v>23</v>
      </c>
      <c r="AA68" s="220">
        <f t="shared" si="18"/>
        <v>23</v>
      </c>
      <c r="AB68" s="220">
        <f t="shared" si="18"/>
        <v>23</v>
      </c>
      <c r="AC68" s="220">
        <f t="shared" si="18"/>
        <v>23</v>
      </c>
      <c r="AD68" s="220">
        <f t="shared" si="18"/>
        <v>23</v>
      </c>
      <c r="AE68" s="220">
        <f t="shared" si="18"/>
        <v>23</v>
      </c>
      <c r="AF68" s="220">
        <f t="shared" si="18"/>
        <v>23</v>
      </c>
      <c r="AG68" s="220">
        <f t="shared" si="18"/>
        <v>23</v>
      </c>
      <c r="AH68" s="220">
        <f t="shared" si="18"/>
        <v>23</v>
      </c>
      <c r="AI68" s="220">
        <f t="shared" si="18"/>
        <v>23</v>
      </c>
      <c r="AJ68" s="220">
        <f t="shared" si="18"/>
        <v>23</v>
      </c>
      <c r="AK68" s="220">
        <f t="shared" si="18"/>
        <v>24</v>
      </c>
      <c r="AL68" s="220">
        <f t="shared" si="18"/>
        <v>30</v>
      </c>
      <c r="AM68" s="220">
        <f t="shared" si="18"/>
        <v>36</v>
      </c>
      <c r="AN68" s="221">
        <f t="shared" si="18"/>
        <v>42</v>
      </c>
      <c r="AU68" s="252">
        <v>120</v>
      </c>
      <c r="AV68" s="254">
        <f t="shared" si="15"/>
        <v>0</v>
      </c>
    </row>
    <row r="69" spans="1:48" ht="16.05" customHeight="1" x14ac:dyDescent="0.2">
      <c r="A69" s="126"/>
      <c r="B69" s="118">
        <v>121507</v>
      </c>
      <c r="C69" s="127" t="s">
        <v>219</v>
      </c>
      <c r="D69" s="122" t="s">
        <v>10</v>
      </c>
      <c r="E69" s="382" cm="1">
        <f t="array" ref="E69">IF(SUM(J69:L69)=(MIN(IF($J$61:$L$70 &lt;&gt;0,$J$61:$L$70))),SUM(J69:L69),0)</f>
        <v>0</v>
      </c>
      <c r="F69" s="192">
        <v>277</v>
      </c>
      <c r="G69" s="191">
        <f t="shared" si="10"/>
        <v>0</v>
      </c>
      <c r="H69" s="368">
        <f t="shared" si="9"/>
        <v>0</v>
      </c>
      <c r="I69" s="187">
        <f>J69*1500</f>
        <v>0</v>
      </c>
      <c r="J69" s="163">
        <f>IF(AND(E16="x",F22&lt;150,I22&lt;1500,SUM(J61:J68)&lt;1),1,0)</f>
        <v>0</v>
      </c>
      <c r="K69" s="163">
        <f>IF(AND(E16="x",F22&lt;300,I22&lt;3000,SUM(K61:K68)&lt;1),2,0)</f>
        <v>0</v>
      </c>
      <c r="L69" s="163">
        <f>IF(AND(E16="x",F22&lt;450,I22&lt;4500,SUM(L61:L68)&lt;1),3,0)</f>
        <v>0</v>
      </c>
      <c r="M69" s="187"/>
      <c r="N69" s="187"/>
      <c r="O69" s="187"/>
      <c r="P69" s="187"/>
      <c r="Q69" s="187"/>
      <c r="R69" s="187"/>
      <c r="S69" s="187"/>
      <c r="T69" s="187"/>
      <c r="U69" s="187"/>
      <c r="V69" s="187"/>
      <c r="W69" s="145">
        <v>50</v>
      </c>
      <c r="X69" s="213">
        <v>-25</v>
      </c>
      <c r="Y69" s="216">
        <f t="shared" ref="Y69:AN69" si="19">IF(Y36&gt;=17,ROUNDUP($F$22*Y36/17,0),$F$22)</f>
        <v>23</v>
      </c>
      <c r="Z69" s="150">
        <f t="shared" si="19"/>
        <v>23</v>
      </c>
      <c r="AA69" s="150">
        <f t="shared" si="19"/>
        <v>23</v>
      </c>
      <c r="AB69" s="150">
        <f t="shared" si="19"/>
        <v>23</v>
      </c>
      <c r="AC69" s="150">
        <f t="shared" si="19"/>
        <v>23</v>
      </c>
      <c r="AD69" s="150">
        <f t="shared" si="19"/>
        <v>23</v>
      </c>
      <c r="AE69" s="150">
        <f t="shared" si="19"/>
        <v>23</v>
      </c>
      <c r="AF69" s="150">
        <f t="shared" si="19"/>
        <v>23</v>
      </c>
      <c r="AG69" s="150">
        <f t="shared" si="19"/>
        <v>23</v>
      </c>
      <c r="AH69" s="150">
        <f t="shared" si="19"/>
        <v>23</v>
      </c>
      <c r="AI69" s="150">
        <f t="shared" si="19"/>
        <v>23</v>
      </c>
      <c r="AJ69" s="150">
        <f t="shared" si="19"/>
        <v>25</v>
      </c>
      <c r="AK69" s="150">
        <f t="shared" si="19"/>
        <v>29</v>
      </c>
      <c r="AL69" s="150">
        <f t="shared" si="19"/>
        <v>36</v>
      </c>
      <c r="AM69" s="150">
        <f t="shared" si="19"/>
        <v>42</v>
      </c>
      <c r="AN69" s="153">
        <f t="shared" si="19"/>
        <v>49</v>
      </c>
      <c r="AU69" s="252">
        <v>150</v>
      </c>
      <c r="AV69" s="254">
        <f t="shared" si="15"/>
        <v>0</v>
      </c>
    </row>
    <row r="70" spans="1:48" ht="16.05" customHeight="1" thickBot="1" x14ac:dyDescent="0.25">
      <c r="A70" s="136"/>
      <c r="B70" s="235">
        <v>121907</v>
      </c>
      <c r="C70" s="236" t="s">
        <v>220</v>
      </c>
      <c r="D70" s="139" t="s">
        <v>10</v>
      </c>
      <c r="E70" s="688" cm="1">
        <f t="array" ref="E70">IF(SUM(J70:L70)=(MIN(IF($J$61:$L$70 &lt;&gt;0,$J$61:$L$70))),SUM(J70:L70),0)</f>
        <v>0</v>
      </c>
      <c r="F70" s="193">
        <v>339</v>
      </c>
      <c r="G70" s="194">
        <f t="shared" si="10"/>
        <v>0</v>
      </c>
      <c r="H70" s="368">
        <f>E70</f>
        <v>0</v>
      </c>
      <c r="I70" s="187">
        <f>J70*1900</f>
        <v>0</v>
      </c>
      <c r="J70" s="163">
        <f>IF(AND(E16="x",F22&lt;190,I22&lt;1900,SUM(J61:J69)&lt;1),1,0)</f>
        <v>0</v>
      </c>
      <c r="K70" s="163">
        <f>IF(AND(E16="x",F22&lt;380,I22&lt;3800,SUM(K61:K69)&lt;1),2,0)</f>
        <v>0</v>
      </c>
      <c r="L70" s="163">
        <f>IF(AND(E16="x",F22&lt;570,I22&lt;5700,SUM(L61:L69)&lt;1),3,0)</f>
        <v>0</v>
      </c>
      <c r="M70" s="187"/>
      <c r="N70" s="187"/>
      <c r="O70" s="187"/>
      <c r="P70" s="187"/>
      <c r="Q70" s="187"/>
      <c r="R70" s="187"/>
      <c r="S70" s="187"/>
      <c r="T70" s="187"/>
      <c r="U70" s="187"/>
      <c r="V70" s="187"/>
      <c r="W70" s="270">
        <v>50</v>
      </c>
      <c r="X70" s="214">
        <v>-35</v>
      </c>
      <c r="Y70" s="217">
        <f t="shared" ref="Y70:AN70" si="20">IF(Y37&gt;=17,ROUNDUP($F$22*Y37/17,0),$F$22)</f>
        <v>23</v>
      </c>
      <c r="Z70" s="154">
        <f t="shared" si="20"/>
        <v>23</v>
      </c>
      <c r="AA70" s="154">
        <f t="shared" si="20"/>
        <v>23</v>
      </c>
      <c r="AB70" s="154">
        <f t="shared" si="20"/>
        <v>23</v>
      </c>
      <c r="AC70" s="154">
        <f t="shared" si="20"/>
        <v>23</v>
      </c>
      <c r="AD70" s="154">
        <f t="shared" si="20"/>
        <v>23</v>
      </c>
      <c r="AE70" s="154">
        <f t="shared" si="20"/>
        <v>23</v>
      </c>
      <c r="AF70" s="154">
        <f t="shared" si="20"/>
        <v>24</v>
      </c>
      <c r="AG70" s="154">
        <f t="shared" si="20"/>
        <v>26</v>
      </c>
      <c r="AH70" s="154">
        <f t="shared" si="20"/>
        <v>29</v>
      </c>
      <c r="AI70" s="154">
        <f t="shared" si="20"/>
        <v>31</v>
      </c>
      <c r="AJ70" s="154">
        <f t="shared" si="20"/>
        <v>34</v>
      </c>
      <c r="AK70" s="154">
        <f t="shared" si="20"/>
        <v>38</v>
      </c>
      <c r="AL70" s="154">
        <f t="shared" si="20"/>
        <v>48</v>
      </c>
      <c r="AM70" s="154">
        <f t="shared" si="20"/>
        <v>57</v>
      </c>
      <c r="AN70" s="155">
        <f t="shared" si="20"/>
        <v>67</v>
      </c>
      <c r="AU70" s="253">
        <v>190</v>
      </c>
      <c r="AV70" s="254">
        <f t="shared" si="15"/>
        <v>0</v>
      </c>
    </row>
    <row r="71" spans="1:48" ht="16.05" customHeight="1" thickBot="1" x14ac:dyDescent="0.25">
      <c r="A71" s="648" t="s">
        <v>82</v>
      </c>
      <c r="B71" s="649"/>
      <c r="C71" s="649"/>
      <c r="D71" s="649"/>
      <c r="E71" s="687"/>
      <c r="F71" s="687"/>
      <c r="G71" s="241"/>
      <c r="H71" s="684">
        <f>SUM(H72:H76)</f>
        <v>4</v>
      </c>
      <c r="I71" s="187">
        <f>SUM(I29:I70)</f>
        <v>0</v>
      </c>
      <c r="J71" s="186"/>
      <c r="K71" s="186"/>
      <c r="L71" s="186"/>
      <c r="M71" s="186"/>
      <c r="N71" s="186"/>
      <c r="O71" s="186"/>
      <c r="P71" s="186"/>
      <c r="Q71" s="186"/>
      <c r="R71" s="186"/>
      <c r="S71" s="186"/>
      <c r="T71" s="186"/>
      <c r="U71" s="186"/>
      <c r="V71" s="186"/>
      <c r="W71" s="61"/>
      <c r="X71" s="61"/>
      <c r="Y71" s="61"/>
      <c r="Z71" s="61"/>
      <c r="AA71" s="61"/>
      <c r="AB71" s="61"/>
      <c r="AC71" s="61"/>
      <c r="AD71" s="61"/>
      <c r="AE71" s="61"/>
      <c r="AF71" s="61"/>
      <c r="AG71" s="61"/>
      <c r="AH71" s="61"/>
      <c r="AI71" s="61"/>
      <c r="AJ71" s="61"/>
      <c r="AK71" s="61"/>
      <c r="AL71" s="61"/>
      <c r="AM71" s="61"/>
      <c r="AN71" s="61"/>
      <c r="AU71" s="5" t="s">
        <v>270</v>
      </c>
      <c r="AV71" s="254">
        <f>SUM(AV29:AV70)</f>
        <v>0</v>
      </c>
    </row>
    <row r="72" spans="1:48" ht="16.05" customHeight="1" x14ac:dyDescent="0.2">
      <c r="A72" s="167"/>
      <c r="B72" s="238">
        <v>160100</v>
      </c>
      <c r="C72" s="577" t="s">
        <v>79</v>
      </c>
      <c r="D72" s="168" t="s">
        <v>10</v>
      </c>
      <c r="E72" s="580">
        <f>IF(E14="x", ROUNDUP(E29/110, 0), IF(E15="x", ROUNDUP(E30/70, 0), 0))</f>
        <v>0</v>
      </c>
      <c r="F72" s="240">
        <v>13</v>
      </c>
      <c r="G72" s="189">
        <f>E72*F72</f>
        <v>0</v>
      </c>
      <c r="H72" s="368">
        <f>E72</f>
        <v>0</v>
      </c>
      <c r="I72" s="195"/>
      <c r="J72" s="374"/>
      <c r="K72" s="374"/>
      <c r="L72" s="374"/>
      <c r="M72" s="195"/>
      <c r="N72" s="195"/>
      <c r="O72" s="195"/>
      <c r="P72" s="195"/>
      <c r="Q72" s="195"/>
      <c r="R72" s="195"/>
      <c r="S72" s="195"/>
      <c r="T72" s="195"/>
      <c r="U72" s="195"/>
      <c r="V72" s="195"/>
      <c r="W72" s="61"/>
      <c r="X72" s="61"/>
      <c r="Y72" s="61"/>
      <c r="Z72" s="61"/>
      <c r="AA72" s="61"/>
      <c r="AB72" s="61"/>
      <c r="AC72" s="61"/>
      <c r="AD72" s="61"/>
      <c r="AE72" s="61"/>
      <c r="AF72" s="61"/>
      <c r="AG72" s="61"/>
      <c r="AH72" s="63"/>
      <c r="AI72" s="63"/>
      <c r="AJ72" s="63"/>
      <c r="AK72" s="63"/>
      <c r="AL72" s="63"/>
      <c r="AM72" s="63"/>
      <c r="AN72" s="63"/>
      <c r="AU72" s="5" t="s">
        <v>271</v>
      </c>
      <c r="AV72" s="5">
        <f>SUM(AV30:AV71)</f>
        <v>0</v>
      </c>
    </row>
    <row r="73" spans="1:48" ht="16.05" customHeight="1" thickBot="1" x14ac:dyDescent="0.25">
      <c r="A73" s="126"/>
      <c r="B73" s="131">
        <v>891551</v>
      </c>
      <c r="C73" s="578" t="s">
        <v>144</v>
      </c>
      <c r="D73" s="122" t="s">
        <v>10</v>
      </c>
      <c r="E73" s="581">
        <v>1</v>
      </c>
      <c r="F73" s="192">
        <v>91</v>
      </c>
      <c r="G73" s="191">
        <f>E73*F73</f>
        <v>91</v>
      </c>
      <c r="H73" s="368">
        <f>E73</f>
        <v>1</v>
      </c>
      <c r="I73" s="195"/>
      <c r="J73" s="374"/>
      <c r="K73" s="374"/>
      <c r="L73" s="374"/>
      <c r="M73" s="195"/>
      <c r="N73" s="195"/>
      <c r="O73" s="195"/>
      <c r="P73" s="195"/>
      <c r="Q73" s="195"/>
      <c r="R73" s="195"/>
      <c r="S73" s="195"/>
      <c r="T73" s="195"/>
      <c r="U73" s="195"/>
      <c r="V73" s="195"/>
      <c r="W73" s="61"/>
      <c r="X73" s="827" t="s">
        <v>256</v>
      </c>
      <c r="Y73" s="828"/>
      <c r="Z73" s="828"/>
      <c r="AA73" s="828"/>
      <c r="AB73" s="828"/>
      <c r="AC73" s="828"/>
      <c r="AD73" s="828"/>
      <c r="AE73" s="828"/>
      <c r="AF73" s="828"/>
      <c r="AG73" s="828"/>
      <c r="AH73" s="828"/>
      <c r="AI73" s="828"/>
      <c r="AJ73" s="828"/>
      <c r="AK73" s="828"/>
      <c r="AL73" s="828"/>
      <c r="AM73" s="828"/>
      <c r="AN73" s="828"/>
    </row>
    <row r="74" spans="1:48" ht="22.8" x14ac:dyDescent="0.2">
      <c r="A74" s="126"/>
      <c r="B74" s="130">
        <v>892551</v>
      </c>
      <c r="C74" s="579" t="s">
        <v>193</v>
      </c>
      <c r="D74" s="134" t="s">
        <v>10</v>
      </c>
      <c r="E74" s="581">
        <v>1</v>
      </c>
      <c r="F74" s="192">
        <v>106</v>
      </c>
      <c r="G74" s="191">
        <f>E74*F74</f>
        <v>106</v>
      </c>
      <c r="H74" s="368">
        <f>E74</f>
        <v>1</v>
      </c>
      <c r="I74" s="195"/>
      <c r="J74" s="374"/>
      <c r="K74" s="374"/>
      <c r="L74" s="374"/>
      <c r="M74" s="195"/>
      <c r="N74" s="195"/>
      <c r="O74" s="195"/>
      <c r="P74" s="195"/>
      <c r="Q74" s="195"/>
      <c r="R74" s="195"/>
      <c r="S74" s="195"/>
      <c r="T74" s="195"/>
      <c r="U74" s="195"/>
      <c r="V74" s="195"/>
      <c r="W74" s="61"/>
      <c r="X74" s="829" t="s">
        <v>166</v>
      </c>
      <c r="Y74" s="830"/>
      <c r="Z74" s="830"/>
      <c r="AA74" s="830"/>
      <c r="AB74" s="830"/>
      <c r="AC74" s="830"/>
      <c r="AD74" s="830"/>
      <c r="AE74" s="830"/>
      <c r="AF74" s="830"/>
      <c r="AG74" s="830"/>
      <c r="AH74" s="830"/>
      <c r="AI74" s="830"/>
      <c r="AJ74" s="830"/>
      <c r="AK74" s="830"/>
      <c r="AL74" s="830"/>
      <c r="AM74" s="830"/>
      <c r="AN74" s="831"/>
    </row>
    <row r="75" spans="1:48" ht="16.05" customHeight="1" x14ac:dyDescent="0.2">
      <c r="A75" s="126"/>
      <c r="B75" s="135">
        <v>891650</v>
      </c>
      <c r="C75" s="578" t="s">
        <v>236</v>
      </c>
      <c r="D75" s="122" t="s">
        <v>10</v>
      </c>
      <c r="E75" s="582">
        <v>1</v>
      </c>
      <c r="F75" s="192">
        <v>42</v>
      </c>
      <c r="G75" s="191">
        <f>E75*F75</f>
        <v>42</v>
      </c>
      <c r="H75" s="368">
        <f>E75</f>
        <v>1</v>
      </c>
      <c r="I75" s="195"/>
      <c r="J75" s="374"/>
      <c r="K75" s="374"/>
      <c r="L75" s="374"/>
      <c r="M75" s="195"/>
      <c r="N75" s="195"/>
      <c r="O75" s="195"/>
      <c r="P75" s="195"/>
      <c r="Q75" s="195"/>
      <c r="R75" s="195"/>
      <c r="S75" s="195"/>
      <c r="T75" s="195"/>
      <c r="U75" s="195"/>
      <c r="V75" s="195"/>
      <c r="W75" s="842" t="s">
        <v>278</v>
      </c>
      <c r="X75" s="231" t="s">
        <v>231</v>
      </c>
      <c r="Y75" s="222" t="s">
        <v>224</v>
      </c>
      <c r="Z75" s="222" t="s">
        <v>225</v>
      </c>
      <c r="AA75" s="222">
        <v>1</v>
      </c>
      <c r="AB75" s="222" t="s">
        <v>226</v>
      </c>
      <c r="AC75" s="222" t="s">
        <v>227</v>
      </c>
      <c r="AD75" s="222">
        <v>2</v>
      </c>
      <c r="AE75" s="222" t="s">
        <v>228</v>
      </c>
      <c r="AF75" s="222">
        <v>3</v>
      </c>
      <c r="AG75" s="222" t="s">
        <v>229</v>
      </c>
      <c r="AH75" s="222">
        <v>4</v>
      </c>
      <c r="AI75" s="222" t="s">
        <v>230</v>
      </c>
      <c r="AJ75" s="222">
        <v>5</v>
      </c>
      <c r="AK75" s="222">
        <v>6</v>
      </c>
      <c r="AL75" s="222">
        <v>8</v>
      </c>
      <c r="AM75" s="222">
        <v>10</v>
      </c>
      <c r="AN75" s="232">
        <v>12</v>
      </c>
    </row>
    <row r="76" spans="1:48" ht="16.05" customHeight="1" thickBot="1" x14ac:dyDescent="0.25">
      <c r="A76" s="136"/>
      <c r="B76" s="137">
        <v>720200</v>
      </c>
      <c r="C76" s="518" t="s">
        <v>66</v>
      </c>
      <c r="D76" s="139" t="s">
        <v>67</v>
      </c>
      <c r="E76" s="583">
        <f>IF(E11="x",(ROUNDUP(((ROUNDUP((F22+1)*(PI()*(G22/1000)),0))+AV72)/22.5,0)),(ROUNDUP(((ROUNDUP((F22+1)*(PI()*(G22/1000)),0))+AV71)/22.5,0)))</f>
        <v>1</v>
      </c>
      <c r="F76" s="193">
        <v>5</v>
      </c>
      <c r="G76" s="194">
        <f>E76*F76</f>
        <v>5</v>
      </c>
      <c r="H76" s="368">
        <f>E76</f>
        <v>1</v>
      </c>
      <c r="I76" s="195"/>
      <c r="J76" s="374"/>
      <c r="K76" s="374"/>
      <c r="L76" s="374"/>
      <c r="M76" s="195"/>
      <c r="N76" s="195"/>
      <c r="O76" s="195"/>
      <c r="P76" s="195"/>
      <c r="Q76" s="195"/>
      <c r="R76" s="195"/>
      <c r="S76" s="195"/>
      <c r="T76" s="195"/>
      <c r="U76" s="195"/>
      <c r="V76" s="195"/>
      <c r="W76" s="842"/>
      <c r="X76" s="233" t="s">
        <v>197</v>
      </c>
      <c r="Y76" s="223">
        <v>21</v>
      </c>
      <c r="Z76" s="223">
        <v>27</v>
      </c>
      <c r="AA76" s="223">
        <v>34</v>
      </c>
      <c r="AB76" s="223">
        <v>42</v>
      </c>
      <c r="AC76" s="223">
        <v>48</v>
      </c>
      <c r="AD76" s="223">
        <v>60</v>
      </c>
      <c r="AE76" s="223">
        <v>73</v>
      </c>
      <c r="AF76" s="223">
        <v>89</v>
      </c>
      <c r="AG76" s="223">
        <v>102</v>
      </c>
      <c r="AH76" s="223">
        <v>114</v>
      </c>
      <c r="AI76" s="223">
        <v>127</v>
      </c>
      <c r="AJ76" s="223">
        <v>141</v>
      </c>
      <c r="AK76" s="223">
        <v>168</v>
      </c>
      <c r="AL76" s="223">
        <v>219</v>
      </c>
      <c r="AM76" s="223">
        <v>273</v>
      </c>
      <c r="AN76" s="224">
        <v>324</v>
      </c>
    </row>
    <row r="77" spans="1:48" ht="16.05" customHeight="1" thickBot="1" x14ac:dyDescent="0.25">
      <c r="A77" s="835" t="s">
        <v>18</v>
      </c>
      <c r="B77" s="836"/>
      <c r="C77" s="836"/>
      <c r="D77" s="836"/>
      <c r="E77" s="836"/>
      <c r="F77" s="836"/>
      <c r="G77" s="140">
        <f>SUM(G29:G76)</f>
        <v>244</v>
      </c>
      <c r="W77" s="842"/>
      <c r="X77" s="234" t="s">
        <v>196</v>
      </c>
      <c r="Y77" s="227">
        <v>15</v>
      </c>
      <c r="Z77" s="227">
        <v>20</v>
      </c>
      <c r="AA77" s="227">
        <v>25</v>
      </c>
      <c r="AB77" s="227">
        <v>32</v>
      </c>
      <c r="AC77" s="227">
        <v>40</v>
      </c>
      <c r="AD77" s="227">
        <v>50</v>
      </c>
      <c r="AE77" s="227">
        <v>65</v>
      </c>
      <c r="AF77" s="227">
        <v>80</v>
      </c>
      <c r="AG77" s="227">
        <v>90</v>
      </c>
      <c r="AH77" s="227">
        <v>100</v>
      </c>
      <c r="AI77" s="227">
        <v>115</v>
      </c>
      <c r="AJ77" s="227">
        <v>125</v>
      </c>
      <c r="AK77" s="227">
        <v>150</v>
      </c>
      <c r="AL77" s="227">
        <v>200</v>
      </c>
      <c r="AM77" s="227">
        <v>250</v>
      </c>
      <c r="AN77" s="228">
        <v>300</v>
      </c>
    </row>
    <row r="78" spans="1:48" ht="16.05" customHeight="1" thickBot="1" x14ac:dyDescent="0.25">
      <c r="A78" s="141">
        <v>0</v>
      </c>
      <c r="B78" s="837" t="s">
        <v>70</v>
      </c>
      <c r="C78" s="838"/>
      <c r="D78" s="838"/>
      <c r="E78" s="838"/>
      <c r="F78" s="838"/>
      <c r="G78" s="142">
        <f>G77*(1-A78)</f>
        <v>244</v>
      </c>
      <c r="W78" s="843"/>
      <c r="X78" s="229" t="s">
        <v>223</v>
      </c>
      <c r="Y78" s="839" t="s">
        <v>257</v>
      </c>
      <c r="Z78" s="840"/>
      <c r="AA78" s="840"/>
      <c r="AB78" s="840"/>
      <c r="AC78" s="840"/>
      <c r="AD78" s="840"/>
      <c r="AE78" s="840"/>
      <c r="AF78" s="840"/>
      <c r="AG78" s="840"/>
      <c r="AH78" s="840"/>
      <c r="AI78" s="840"/>
      <c r="AJ78" s="840"/>
      <c r="AK78" s="840"/>
      <c r="AL78" s="840"/>
      <c r="AM78" s="840"/>
      <c r="AN78" s="841"/>
    </row>
    <row r="79" spans="1:48" ht="16.05" customHeight="1" thickBot="1" x14ac:dyDescent="0.25">
      <c r="A79" s="825" t="s">
        <v>19</v>
      </c>
      <c r="B79" s="826"/>
      <c r="C79" s="826"/>
      <c r="D79" s="826"/>
      <c r="E79" s="826"/>
      <c r="F79" s="826"/>
      <c r="G79" s="143">
        <f>G78*1.21</f>
        <v>295.24</v>
      </c>
      <c r="W79" s="269">
        <v>20</v>
      </c>
      <c r="X79" s="218">
        <v>-20</v>
      </c>
      <c r="Y79" s="219">
        <f>IF(Y29&gt;=20,ROUNDUP($F$22*Y29/20,0),$F$22)</f>
        <v>23</v>
      </c>
      <c r="Z79" s="220">
        <f t="shared" ref="Z79:AN79" si="21">IF(Z29&gt;=20,ROUNDUP($F$22*Z29/20,0),$F$22)</f>
        <v>23</v>
      </c>
      <c r="AA79" s="220">
        <f t="shared" si="21"/>
        <v>23</v>
      </c>
      <c r="AB79" s="220">
        <f t="shared" si="21"/>
        <v>23</v>
      </c>
      <c r="AC79" s="220">
        <f t="shared" si="21"/>
        <v>23</v>
      </c>
      <c r="AD79" s="220">
        <f t="shared" si="21"/>
        <v>23</v>
      </c>
      <c r="AE79" s="220">
        <f t="shared" si="21"/>
        <v>23</v>
      </c>
      <c r="AF79" s="220">
        <f t="shared" si="21"/>
        <v>26</v>
      </c>
      <c r="AG79" s="220">
        <f t="shared" si="21"/>
        <v>29</v>
      </c>
      <c r="AH79" s="220">
        <f t="shared" si="21"/>
        <v>32</v>
      </c>
      <c r="AI79" s="220">
        <f t="shared" si="21"/>
        <v>35</v>
      </c>
      <c r="AJ79" s="220">
        <f t="shared" si="21"/>
        <v>38</v>
      </c>
      <c r="AK79" s="220">
        <f t="shared" si="21"/>
        <v>44</v>
      </c>
      <c r="AL79" s="220">
        <f t="shared" si="21"/>
        <v>57</v>
      </c>
      <c r="AM79" s="220">
        <f t="shared" si="21"/>
        <v>69</v>
      </c>
      <c r="AN79" s="221">
        <f t="shared" si="21"/>
        <v>81</v>
      </c>
    </row>
    <row r="80" spans="1:48" ht="19.8" x14ac:dyDescent="0.2">
      <c r="W80" s="145">
        <v>20</v>
      </c>
      <c r="X80" s="213">
        <v>-25</v>
      </c>
      <c r="Y80" s="216">
        <f t="shared" ref="Y80:AN87" si="22">IF(Y30&gt;=20,ROUNDUP($F$22*Y30/20,0),$F$22)</f>
        <v>23</v>
      </c>
      <c r="Z80" s="150">
        <f t="shared" si="22"/>
        <v>23</v>
      </c>
      <c r="AA80" s="150">
        <f t="shared" si="22"/>
        <v>23</v>
      </c>
      <c r="AB80" s="150">
        <f t="shared" si="22"/>
        <v>23</v>
      </c>
      <c r="AC80" s="150">
        <f t="shared" si="22"/>
        <v>23</v>
      </c>
      <c r="AD80" s="150">
        <f t="shared" si="22"/>
        <v>23</v>
      </c>
      <c r="AE80" s="150">
        <f t="shared" si="22"/>
        <v>26</v>
      </c>
      <c r="AF80" s="150">
        <f t="shared" si="22"/>
        <v>31</v>
      </c>
      <c r="AG80" s="150">
        <f t="shared" si="22"/>
        <v>35</v>
      </c>
      <c r="AH80" s="150">
        <f t="shared" si="22"/>
        <v>38</v>
      </c>
      <c r="AI80" s="150">
        <f t="shared" si="22"/>
        <v>42</v>
      </c>
      <c r="AJ80" s="150">
        <f t="shared" si="22"/>
        <v>45</v>
      </c>
      <c r="AK80" s="150">
        <f t="shared" si="22"/>
        <v>53</v>
      </c>
      <c r="AL80" s="150">
        <f t="shared" si="22"/>
        <v>67</v>
      </c>
      <c r="AM80" s="150">
        <f t="shared" si="22"/>
        <v>83</v>
      </c>
      <c r="AN80" s="153">
        <f t="shared" si="22"/>
        <v>97</v>
      </c>
    </row>
    <row r="81" spans="1:40" ht="20.399999999999999" thickBot="1" x14ac:dyDescent="0.25">
      <c r="A81" s="732" t="s">
        <v>20</v>
      </c>
      <c r="B81" s="763"/>
      <c r="C81" s="763"/>
      <c r="D81" s="763"/>
      <c r="E81" s="763"/>
      <c r="F81" s="763"/>
      <c r="G81" s="763"/>
      <c r="W81" s="268">
        <v>20</v>
      </c>
      <c r="X81" s="214">
        <v>-35</v>
      </c>
      <c r="Y81" s="217">
        <f t="shared" si="22"/>
        <v>23</v>
      </c>
      <c r="Z81" s="154">
        <f t="shared" si="22"/>
        <v>23</v>
      </c>
      <c r="AA81" s="154">
        <f t="shared" si="22"/>
        <v>23</v>
      </c>
      <c r="AB81" s="154">
        <f t="shared" si="22"/>
        <v>23</v>
      </c>
      <c r="AC81" s="154">
        <f t="shared" si="22"/>
        <v>25</v>
      </c>
      <c r="AD81" s="154">
        <f t="shared" si="22"/>
        <v>30</v>
      </c>
      <c r="AE81" s="154">
        <f t="shared" si="22"/>
        <v>35</v>
      </c>
      <c r="AF81" s="154">
        <f t="shared" si="22"/>
        <v>41</v>
      </c>
      <c r="AG81" s="154">
        <f t="shared" si="22"/>
        <v>45</v>
      </c>
      <c r="AH81" s="154">
        <f t="shared" si="22"/>
        <v>50</v>
      </c>
      <c r="AI81" s="154">
        <f t="shared" si="22"/>
        <v>56</v>
      </c>
      <c r="AJ81" s="154">
        <f t="shared" si="22"/>
        <v>60</v>
      </c>
      <c r="AK81" s="154">
        <f t="shared" si="22"/>
        <v>71</v>
      </c>
      <c r="AL81" s="154">
        <f t="shared" si="22"/>
        <v>90</v>
      </c>
      <c r="AM81" s="154">
        <f t="shared" si="22"/>
        <v>111</v>
      </c>
      <c r="AN81" s="155">
        <f t="shared" si="22"/>
        <v>129</v>
      </c>
    </row>
    <row r="82" spans="1:40" ht="28.95" customHeight="1" x14ac:dyDescent="0.3">
      <c r="A82" s="733" t="s">
        <v>141</v>
      </c>
      <c r="B82" s="748"/>
      <c r="C82" s="748"/>
      <c r="D82" s="748"/>
      <c r="E82" s="748"/>
      <c r="F82" s="748"/>
      <c r="G82" s="748"/>
      <c r="W82" s="269">
        <v>30</v>
      </c>
      <c r="X82" s="212">
        <v>-20</v>
      </c>
      <c r="Y82" s="215">
        <f t="shared" si="22"/>
        <v>23</v>
      </c>
      <c r="Z82" s="151">
        <f t="shared" si="22"/>
        <v>23</v>
      </c>
      <c r="AA82" s="151">
        <f t="shared" si="22"/>
        <v>23</v>
      </c>
      <c r="AB82" s="151">
        <f t="shared" si="22"/>
        <v>23</v>
      </c>
      <c r="AC82" s="151">
        <f t="shared" si="22"/>
        <v>23</v>
      </c>
      <c r="AD82" s="151">
        <f t="shared" si="22"/>
        <v>23</v>
      </c>
      <c r="AE82" s="151">
        <f t="shared" si="22"/>
        <v>23</v>
      </c>
      <c r="AF82" s="151">
        <f t="shared" si="22"/>
        <v>23</v>
      </c>
      <c r="AG82" s="151">
        <f t="shared" si="22"/>
        <v>23</v>
      </c>
      <c r="AH82" s="151">
        <f t="shared" si="22"/>
        <v>23</v>
      </c>
      <c r="AI82" s="151">
        <f t="shared" si="22"/>
        <v>25</v>
      </c>
      <c r="AJ82" s="151">
        <f t="shared" si="22"/>
        <v>27</v>
      </c>
      <c r="AK82" s="151">
        <f t="shared" si="22"/>
        <v>31</v>
      </c>
      <c r="AL82" s="151">
        <f t="shared" si="22"/>
        <v>40</v>
      </c>
      <c r="AM82" s="151">
        <f t="shared" si="22"/>
        <v>48</v>
      </c>
      <c r="AN82" s="152">
        <f t="shared" si="22"/>
        <v>56</v>
      </c>
    </row>
    <row r="83" spans="1:40" ht="16.95" customHeight="1" x14ac:dyDescent="0.3">
      <c r="A83" s="733" t="s">
        <v>462</v>
      </c>
      <c r="B83" s="748"/>
      <c r="C83" s="748"/>
      <c r="D83" s="52">
        <f>I71/1000</f>
        <v>0</v>
      </c>
      <c r="E83" s="67"/>
      <c r="F83" s="67"/>
      <c r="G83" s="67"/>
      <c r="W83" s="145">
        <v>30</v>
      </c>
      <c r="X83" s="213">
        <v>-25</v>
      </c>
      <c r="Y83" s="216">
        <f t="shared" si="22"/>
        <v>23</v>
      </c>
      <c r="Z83" s="150">
        <f t="shared" si="22"/>
        <v>23</v>
      </c>
      <c r="AA83" s="150">
        <f t="shared" si="22"/>
        <v>23</v>
      </c>
      <c r="AB83" s="150">
        <f t="shared" si="22"/>
        <v>23</v>
      </c>
      <c r="AC83" s="150">
        <f t="shared" si="22"/>
        <v>23</v>
      </c>
      <c r="AD83" s="150">
        <f t="shared" si="22"/>
        <v>23</v>
      </c>
      <c r="AE83" s="150">
        <f t="shared" si="22"/>
        <v>23</v>
      </c>
      <c r="AF83" s="150">
        <f t="shared" si="22"/>
        <v>23</v>
      </c>
      <c r="AG83" s="150">
        <f t="shared" si="22"/>
        <v>23</v>
      </c>
      <c r="AH83" s="150">
        <f t="shared" si="22"/>
        <v>23</v>
      </c>
      <c r="AI83" s="150">
        <f t="shared" si="22"/>
        <v>25</v>
      </c>
      <c r="AJ83" s="150">
        <f t="shared" si="22"/>
        <v>27</v>
      </c>
      <c r="AK83" s="150">
        <f t="shared" si="22"/>
        <v>31</v>
      </c>
      <c r="AL83" s="150">
        <f t="shared" si="22"/>
        <v>40</v>
      </c>
      <c r="AM83" s="150">
        <f t="shared" si="22"/>
        <v>48</v>
      </c>
      <c r="AN83" s="153">
        <f t="shared" si="22"/>
        <v>56</v>
      </c>
    </row>
    <row r="84" spans="1:40" ht="20.399999999999999" thickBot="1" x14ac:dyDescent="0.25">
      <c r="D84" s="5" t="s">
        <v>102</v>
      </c>
      <c r="W84" s="268">
        <v>30</v>
      </c>
      <c r="X84" s="214">
        <v>-35</v>
      </c>
      <c r="Y84" s="217">
        <f t="shared" si="22"/>
        <v>23</v>
      </c>
      <c r="Z84" s="154">
        <f t="shared" si="22"/>
        <v>23</v>
      </c>
      <c r="AA84" s="154">
        <f t="shared" si="22"/>
        <v>23</v>
      </c>
      <c r="AB84" s="154">
        <f t="shared" si="22"/>
        <v>23</v>
      </c>
      <c r="AC84" s="154">
        <f t="shared" si="22"/>
        <v>23</v>
      </c>
      <c r="AD84" s="154">
        <f t="shared" si="22"/>
        <v>23</v>
      </c>
      <c r="AE84" s="154">
        <f t="shared" si="22"/>
        <v>23</v>
      </c>
      <c r="AF84" s="154">
        <f t="shared" si="22"/>
        <v>23</v>
      </c>
      <c r="AG84" s="154">
        <f t="shared" si="22"/>
        <v>25</v>
      </c>
      <c r="AH84" s="154">
        <f t="shared" si="22"/>
        <v>27</v>
      </c>
      <c r="AI84" s="154">
        <f t="shared" si="22"/>
        <v>30</v>
      </c>
      <c r="AJ84" s="154">
        <f t="shared" si="22"/>
        <v>32</v>
      </c>
      <c r="AK84" s="154">
        <f t="shared" si="22"/>
        <v>37</v>
      </c>
      <c r="AL84" s="154">
        <f t="shared" si="22"/>
        <v>46</v>
      </c>
      <c r="AM84" s="154">
        <f t="shared" si="22"/>
        <v>57</v>
      </c>
      <c r="AN84" s="155">
        <f t="shared" si="22"/>
        <v>67</v>
      </c>
    </row>
    <row r="85" spans="1:40" ht="19.8" x14ac:dyDescent="0.2">
      <c r="A85" s="739" t="s">
        <v>21</v>
      </c>
      <c r="B85" s="750"/>
      <c r="C85" s="750"/>
      <c r="D85" s="750"/>
      <c r="E85" s="750"/>
      <c r="F85" s="750"/>
      <c r="G85" s="750"/>
      <c r="W85" s="269">
        <v>50</v>
      </c>
      <c r="X85" s="218">
        <v>-20</v>
      </c>
      <c r="Y85" s="219">
        <f t="shared" si="22"/>
        <v>23</v>
      </c>
      <c r="Z85" s="220">
        <f t="shared" si="22"/>
        <v>23</v>
      </c>
      <c r="AA85" s="220">
        <f t="shared" si="22"/>
        <v>23</v>
      </c>
      <c r="AB85" s="220">
        <f t="shared" si="22"/>
        <v>23</v>
      </c>
      <c r="AC85" s="220">
        <f t="shared" si="22"/>
        <v>23</v>
      </c>
      <c r="AD85" s="220">
        <f t="shared" si="22"/>
        <v>23</v>
      </c>
      <c r="AE85" s="220">
        <f t="shared" si="22"/>
        <v>23</v>
      </c>
      <c r="AF85" s="220">
        <f t="shared" si="22"/>
        <v>23</v>
      </c>
      <c r="AG85" s="220">
        <f t="shared" si="22"/>
        <v>23</v>
      </c>
      <c r="AH85" s="220">
        <f t="shared" si="22"/>
        <v>23</v>
      </c>
      <c r="AI85" s="220">
        <f t="shared" si="22"/>
        <v>23</v>
      </c>
      <c r="AJ85" s="220">
        <f t="shared" si="22"/>
        <v>23</v>
      </c>
      <c r="AK85" s="220">
        <f t="shared" si="22"/>
        <v>23</v>
      </c>
      <c r="AL85" s="220">
        <f t="shared" si="22"/>
        <v>25</v>
      </c>
      <c r="AM85" s="220">
        <f t="shared" si="22"/>
        <v>31</v>
      </c>
      <c r="AN85" s="221">
        <f t="shared" si="22"/>
        <v>35</v>
      </c>
    </row>
    <row r="86" spans="1:40" ht="19.8" x14ac:dyDescent="0.2">
      <c r="A86" s="732" t="s">
        <v>142</v>
      </c>
      <c r="B86" s="763"/>
      <c r="C86" s="763"/>
      <c r="D86" s="763"/>
      <c r="E86" s="763"/>
      <c r="F86" s="763"/>
      <c r="G86" s="763"/>
      <c r="W86" s="145">
        <v>50</v>
      </c>
      <c r="X86" s="213">
        <v>-25</v>
      </c>
      <c r="Y86" s="216">
        <f t="shared" si="22"/>
        <v>23</v>
      </c>
      <c r="Z86" s="150">
        <f t="shared" si="22"/>
        <v>23</v>
      </c>
      <c r="AA86" s="150">
        <f t="shared" si="22"/>
        <v>23</v>
      </c>
      <c r="AB86" s="150">
        <f t="shared" si="22"/>
        <v>23</v>
      </c>
      <c r="AC86" s="150">
        <f t="shared" si="22"/>
        <v>23</v>
      </c>
      <c r="AD86" s="150">
        <f t="shared" si="22"/>
        <v>23</v>
      </c>
      <c r="AE86" s="150">
        <f t="shared" si="22"/>
        <v>23</v>
      </c>
      <c r="AF86" s="150">
        <f t="shared" si="22"/>
        <v>23</v>
      </c>
      <c r="AG86" s="150">
        <f t="shared" si="22"/>
        <v>23</v>
      </c>
      <c r="AH86" s="150">
        <f t="shared" si="22"/>
        <v>23</v>
      </c>
      <c r="AI86" s="150">
        <f t="shared" si="22"/>
        <v>23</v>
      </c>
      <c r="AJ86" s="150">
        <f t="shared" si="22"/>
        <v>23</v>
      </c>
      <c r="AK86" s="150">
        <f t="shared" si="22"/>
        <v>25</v>
      </c>
      <c r="AL86" s="150">
        <f t="shared" si="22"/>
        <v>30</v>
      </c>
      <c r="AM86" s="150">
        <f t="shared" si="22"/>
        <v>36</v>
      </c>
      <c r="AN86" s="153">
        <f t="shared" si="22"/>
        <v>42</v>
      </c>
    </row>
    <row r="87" spans="1:40" ht="20.399999999999999" thickBot="1" x14ac:dyDescent="0.35">
      <c r="A87" s="732" t="s">
        <v>22</v>
      </c>
      <c r="B87" s="740"/>
      <c r="C87" s="740"/>
      <c r="D87" s="740"/>
      <c r="E87" s="740"/>
      <c r="F87" s="740"/>
      <c r="G87" s="740"/>
      <c r="W87" s="270">
        <v>50</v>
      </c>
      <c r="X87" s="214">
        <v>-35</v>
      </c>
      <c r="Y87" s="217">
        <f t="shared" si="22"/>
        <v>23</v>
      </c>
      <c r="Z87" s="154">
        <f t="shared" si="22"/>
        <v>23</v>
      </c>
      <c r="AA87" s="154">
        <f t="shared" si="22"/>
        <v>23</v>
      </c>
      <c r="AB87" s="154">
        <f t="shared" si="22"/>
        <v>23</v>
      </c>
      <c r="AC87" s="154">
        <f t="shared" si="22"/>
        <v>23</v>
      </c>
      <c r="AD87" s="154">
        <f t="shared" si="22"/>
        <v>23</v>
      </c>
      <c r="AE87" s="154">
        <f t="shared" si="22"/>
        <v>23</v>
      </c>
      <c r="AF87" s="154">
        <f t="shared" si="22"/>
        <v>23</v>
      </c>
      <c r="AG87" s="154">
        <f t="shared" si="22"/>
        <v>23</v>
      </c>
      <c r="AH87" s="154">
        <f t="shared" si="22"/>
        <v>24</v>
      </c>
      <c r="AI87" s="154">
        <f t="shared" si="22"/>
        <v>26</v>
      </c>
      <c r="AJ87" s="154">
        <f t="shared" si="22"/>
        <v>29</v>
      </c>
      <c r="AK87" s="154">
        <f t="shared" si="22"/>
        <v>33</v>
      </c>
      <c r="AL87" s="154">
        <f t="shared" si="22"/>
        <v>41</v>
      </c>
      <c r="AM87" s="154">
        <f t="shared" si="22"/>
        <v>49</v>
      </c>
      <c r="AN87" s="155">
        <f t="shared" si="22"/>
        <v>57</v>
      </c>
    </row>
    <row r="88" spans="1:40" ht="14.4" x14ac:dyDescent="0.2">
      <c r="A88" s="732" t="s">
        <v>23</v>
      </c>
      <c r="B88" s="763"/>
      <c r="C88" s="763"/>
      <c r="D88" s="763"/>
      <c r="E88" s="763"/>
      <c r="F88" s="763"/>
      <c r="G88" s="763"/>
    </row>
    <row r="89" spans="1:40" ht="14.4" x14ac:dyDescent="0.3">
      <c r="A89" s="732"/>
      <c r="B89" s="740"/>
      <c r="C89" s="740"/>
      <c r="D89" s="740"/>
      <c r="E89" s="740"/>
      <c r="F89" s="740"/>
      <c r="G89" s="740"/>
    </row>
    <row r="90" spans="1:40" ht="14.4" x14ac:dyDescent="0.3">
      <c r="A90" s="66"/>
      <c r="B90"/>
      <c r="C90"/>
      <c r="D90"/>
      <c r="E90"/>
      <c r="F90"/>
      <c r="G90"/>
    </row>
    <row r="91" spans="1:40" ht="14.4" x14ac:dyDescent="0.3">
      <c r="B91" s="1" t="s">
        <v>11</v>
      </c>
      <c r="C91" s="2"/>
      <c r="D91"/>
      <c r="E91"/>
      <c r="F91"/>
      <c r="G91"/>
    </row>
    <row r="92" spans="1:40" ht="14.4" x14ac:dyDescent="0.3">
      <c r="B92" s="749"/>
      <c r="C92" s="750"/>
      <c r="D92"/>
      <c r="E92"/>
      <c r="F92"/>
      <c r="G92"/>
    </row>
    <row r="93" spans="1:40" ht="14.4" x14ac:dyDescent="0.3">
      <c r="B93" s="749"/>
      <c r="C93" s="750"/>
      <c r="D93"/>
      <c r="E93"/>
      <c r="F93"/>
      <c r="G93"/>
    </row>
    <row r="94" spans="1:40" ht="14.4" x14ac:dyDescent="0.3">
      <c r="B94" s="76"/>
      <c r="D94"/>
      <c r="E94"/>
      <c r="F94"/>
      <c r="G94"/>
    </row>
    <row r="95" spans="1:40" ht="14.4" x14ac:dyDescent="0.3">
      <c r="B95" s="76" t="s">
        <v>12</v>
      </c>
      <c r="D95"/>
      <c r="E95"/>
      <c r="F95"/>
      <c r="G95"/>
    </row>
  </sheetData>
  <autoFilter ref="H27:H88" xr:uid="{00000000-0009-0000-0000-000000000000}"/>
  <mergeCells count="51">
    <mergeCell ref="A7:C7"/>
    <mergeCell ref="C1:G1"/>
    <mergeCell ref="A2:C2"/>
    <mergeCell ref="A4:C4"/>
    <mergeCell ref="A5:C5"/>
    <mergeCell ref="A6:C6"/>
    <mergeCell ref="A8:C8"/>
    <mergeCell ref="A9:F9"/>
    <mergeCell ref="A10:F10"/>
    <mergeCell ref="D11:D12"/>
    <mergeCell ref="F11:G11"/>
    <mergeCell ref="F12:G12"/>
    <mergeCell ref="D14:D18"/>
    <mergeCell ref="F14:G14"/>
    <mergeCell ref="F15:G15"/>
    <mergeCell ref="F16:G16"/>
    <mergeCell ref="F17:G17"/>
    <mergeCell ref="F18:G18"/>
    <mergeCell ref="Y44:AN44"/>
    <mergeCell ref="X24:AN24"/>
    <mergeCell ref="A25:G25"/>
    <mergeCell ref="B26:B27"/>
    <mergeCell ref="C26:C27"/>
    <mergeCell ref="D26:D27"/>
    <mergeCell ref="E26:E27"/>
    <mergeCell ref="Y28:AN28"/>
    <mergeCell ref="X39:AN39"/>
    <mergeCell ref="X40:AN40"/>
    <mergeCell ref="W24:W27"/>
    <mergeCell ref="W41:W44"/>
    <mergeCell ref="A79:F79"/>
    <mergeCell ref="X56:AN56"/>
    <mergeCell ref="X57:AN57"/>
    <mergeCell ref="Y61:AN61"/>
    <mergeCell ref="X73:AN73"/>
    <mergeCell ref="X74:AN74"/>
    <mergeCell ref="A77:F77"/>
    <mergeCell ref="B78:F78"/>
    <mergeCell ref="Y78:AN78"/>
    <mergeCell ref="W58:W61"/>
    <mergeCell ref="W75:W78"/>
    <mergeCell ref="A88:G88"/>
    <mergeCell ref="A89:G89"/>
    <mergeCell ref="B92:C92"/>
    <mergeCell ref="B93:C93"/>
    <mergeCell ref="A81:G81"/>
    <mergeCell ref="A82:G82"/>
    <mergeCell ref="A83:C83"/>
    <mergeCell ref="A85:G85"/>
    <mergeCell ref="A86:G86"/>
    <mergeCell ref="A87:G87"/>
  </mergeCells>
  <conditionalFormatting sqref="D11:D12 E12:F12">
    <cfRule type="expression" dxfId="28" priority="12">
      <formula>$E$12="X"</formula>
    </cfRule>
    <cfRule type="expression" priority="13">
      <formula>$D$12="X"</formula>
    </cfRule>
  </conditionalFormatting>
  <conditionalFormatting sqref="D14 E15:F15">
    <cfRule type="expression" dxfId="27" priority="8">
      <formula>$E$15="X"</formula>
    </cfRule>
  </conditionalFormatting>
  <conditionalFormatting sqref="D14 E16:F16">
    <cfRule type="expression" dxfId="26" priority="7">
      <formula>$E$16="X"</formula>
    </cfRule>
  </conditionalFormatting>
  <conditionalFormatting sqref="D14 E17:F17">
    <cfRule type="expression" dxfId="25" priority="1">
      <formula>$E$17="X"</formula>
    </cfRule>
  </conditionalFormatting>
  <conditionalFormatting sqref="D14 E18:F18">
    <cfRule type="expression" dxfId="24" priority="2">
      <formula>$E$18="X"</formula>
    </cfRule>
  </conditionalFormatting>
  <conditionalFormatting sqref="D21:D22">
    <cfRule type="expression" dxfId="23" priority="6">
      <formula>$D$22&lt;&gt;""</formula>
    </cfRule>
  </conditionalFormatting>
  <conditionalFormatting sqref="D14:F14">
    <cfRule type="expression" dxfId="22" priority="9">
      <formula>$E$14="X"</formula>
    </cfRule>
  </conditionalFormatting>
  <conditionalFormatting sqref="E21:E22">
    <cfRule type="expression" dxfId="21" priority="5">
      <formula>$E$22&lt;&gt;""</formula>
    </cfRule>
  </conditionalFormatting>
  <conditionalFormatting sqref="E11:F11 D11:D12">
    <cfRule type="expression" dxfId="20" priority="14">
      <formula>$E$11="X"</formula>
    </cfRule>
  </conditionalFormatting>
  <conditionalFormatting sqref="F21:F22">
    <cfRule type="expression" dxfId="19" priority="11">
      <formula>$F$22&lt;&gt;""</formula>
    </cfRule>
  </conditionalFormatting>
  <conditionalFormatting sqref="G21:G22">
    <cfRule type="expression" dxfId="18" priority="10">
      <formula>$G$22&lt;&gt;""</formula>
    </cfRule>
  </conditionalFormatting>
  <conditionalFormatting sqref="Y29:AN37">
    <cfRule type="cellIs" dxfId="17" priority="4" operator="equal">
      <formula>HLOOKUP($G$22,$Y$26:$AN$37,MATCH($D$22,$W$26:$W$37,0)+MATCH($E$22,$X$29:$X$31,0)-1,0)</formula>
    </cfRule>
  </conditionalFormatting>
  <dataValidations disablePrompts="1" count="3">
    <dataValidation type="list" allowBlank="1" showInputMessage="1" showErrorMessage="1" sqref="E22" xr:uid="{6B84E871-7508-4A74-9C25-5932DF7DE929}">
      <formula1>"-20, -25, -35"</formula1>
    </dataValidation>
    <dataValidation type="list" allowBlank="1" showInputMessage="1" showErrorMessage="1" sqref="D22" xr:uid="{5F0D566F-FCF1-4B20-A388-AD30EEBA9281}">
      <formula1>"20,30,50"</formula1>
    </dataValidation>
    <dataValidation type="list" allowBlank="1" showInputMessage="1" showErrorMessage="1" sqref="G22" xr:uid="{34DCA91F-05D4-4973-A938-48C874258C19}">
      <formula1>$Y$26:$AN$26</formula1>
    </dataValidation>
  </dataValidations>
  <hyperlinks>
    <hyperlink ref="B95" r:id="rId1" xr:uid="{AE98312B-BE7C-459A-A5DE-437D2F775BBC}"/>
  </hyperlinks>
  <pageMargins left="0.70866141732283472" right="0.23622047244094491" top="1.1417322834645669" bottom="1.0629921259842521" header="0.19685039370078741" footer="0.15748031496062992"/>
  <pageSetup paperSize="9" scale="83" orientation="portrait" r:id="rId2"/>
  <headerFooter scaleWithDoc="0" alignWithMargins="0">
    <oddHeader>&amp;L&amp;G&amp;R&amp;G</oddHeader>
    <oddFooter xml:space="preserve">&amp;LRO33404978
J40/8589/2014
RO56INGB0000999915150915
ING BANK NV&amp;CStr. Învingătorilor nr. 27, Sector 3, București
Tel :  (+4) 0314.361.836
Mobil:  (+4) 0724.204.888
             (+4) 0766.367.287&amp;REmail: 
comercial@magnumheating.ro
</oddFooter>
  </headerFooter>
  <colBreaks count="1" manualBreakCount="1">
    <brk id="7" max="1048575" man="1"/>
  </colBreaks>
  <drawing r:id="rId3"/>
  <legacyDrawing r:id="rId4"/>
  <legacyDrawingHF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A2FD-D502-406E-969A-CD66894CDDFD}">
  <sheetPr codeName="Foaie7">
    <tabColor rgb="FF92D050"/>
  </sheetPr>
  <dimension ref="A1:AU95"/>
  <sheetViews>
    <sheetView topLeftCell="A58" zoomScale="70" zoomScaleNormal="70" zoomScaleSheetLayoutView="100" workbookViewId="0">
      <selection activeCell="E72" sqref="E72"/>
    </sheetView>
  </sheetViews>
  <sheetFormatPr defaultColWidth="9.109375" defaultRowHeight="11.4" x14ac:dyDescent="0.2"/>
  <cols>
    <col min="1" max="1" width="5.77734375" style="5" customWidth="1"/>
    <col min="2" max="2" width="8.21875" style="5" customWidth="1"/>
    <col min="3" max="3" width="58" style="5" customWidth="1"/>
    <col min="4" max="4" width="10.77734375" style="5" customWidth="1"/>
    <col min="5" max="5" width="5.77734375" style="5" customWidth="1"/>
    <col min="6" max="6" width="10.77734375" style="5" customWidth="1"/>
    <col min="7" max="7" width="10.6640625" style="5" customWidth="1"/>
    <col min="8" max="8" width="7.6640625" style="5" customWidth="1"/>
    <col min="9" max="9" width="9.21875" style="5" customWidth="1"/>
    <col min="10" max="10" width="9" style="5" customWidth="1"/>
    <col min="11" max="11" width="9.109375" style="5" customWidth="1"/>
    <col min="12" max="17" width="7.77734375" style="5" customWidth="1"/>
    <col min="18" max="18" width="8" style="5" customWidth="1"/>
    <col min="19" max="26" width="7.77734375" style="5" customWidth="1"/>
    <col min="27" max="27" width="9.109375" style="5" customWidth="1"/>
    <col min="28" max="33" width="9.109375" style="5"/>
    <col min="34" max="34" width="6.33203125" style="5" bestFit="1" customWidth="1"/>
    <col min="35" max="16384" width="9.109375" style="5"/>
  </cols>
  <sheetData>
    <row r="1" spans="1:17" ht="129.75" customHeight="1" x14ac:dyDescent="0.2">
      <c r="C1" s="734" t="s">
        <v>43</v>
      </c>
      <c r="D1" s="734"/>
      <c r="E1" s="734"/>
      <c r="F1" s="734"/>
      <c r="G1" s="734"/>
      <c r="H1" s="8"/>
      <c r="I1" s="8"/>
      <c r="J1" s="8"/>
      <c r="K1" s="8"/>
      <c r="L1" s="8"/>
    </row>
    <row r="2" spans="1:17" ht="14.4" x14ac:dyDescent="0.3">
      <c r="A2" s="739" t="s">
        <v>194</v>
      </c>
      <c r="B2" s="740"/>
      <c r="C2" s="740"/>
      <c r="I2" s="58"/>
      <c r="J2" s="58"/>
      <c r="M2" s="68"/>
    </row>
    <row r="3" spans="1:17" ht="8.25" customHeight="1" x14ac:dyDescent="0.3">
      <c r="A3" s="2"/>
      <c r="B3"/>
      <c r="C3"/>
      <c r="I3" s="58"/>
      <c r="J3" s="58"/>
      <c r="M3" s="68"/>
    </row>
    <row r="4" spans="1:17" ht="14.4" x14ac:dyDescent="0.3">
      <c r="A4" s="739" t="s">
        <v>77</v>
      </c>
      <c r="B4" s="740"/>
      <c r="C4" s="740"/>
      <c r="I4" s="58"/>
      <c r="J4" s="58"/>
      <c r="M4" s="68"/>
    </row>
    <row r="5" spans="1:17" ht="14.4" x14ac:dyDescent="0.3">
      <c r="A5" s="739" t="s">
        <v>78</v>
      </c>
      <c r="B5" s="740"/>
      <c r="C5" s="740"/>
      <c r="I5" s="58"/>
      <c r="J5" s="58"/>
      <c r="M5" s="68"/>
    </row>
    <row r="6" spans="1:17" ht="14.4" x14ac:dyDescent="0.3">
      <c r="A6" s="739" t="s">
        <v>16</v>
      </c>
      <c r="B6" s="740"/>
      <c r="C6" s="740"/>
      <c r="I6" s="58"/>
      <c r="J6" s="58"/>
      <c r="M6" s="68"/>
    </row>
    <row r="7" spans="1:17" ht="14.4" x14ac:dyDescent="0.3">
      <c r="A7" s="739" t="s">
        <v>13</v>
      </c>
      <c r="B7" s="740"/>
      <c r="C7" s="740"/>
      <c r="I7" s="58"/>
      <c r="J7" s="58"/>
      <c r="M7" s="68"/>
    </row>
    <row r="8" spans="1:17" ht="14.4" x14ac:dyDescent="0.3">
      <c r="A8" s="739" t="s">
        <v>17</v>
      </c>
      <c r="B8" s="740"/>
      <c r="C8" s="740"/>
      <c r="I8" s="58"/>
      <c r="J8" s="58"/>
      <c r="M8" s="68"/>
    </row>
    <row r="9" spans="1:17" ht="24.75" customHeight="1" x14ac:dyDescent="0.2">
      <c r="A9" s="735" t="s">
        <v>0</v>
      </c>
      <c r="B9" s="735"/>
      <c r="C9" s="735"/>
      <c r="D9" s="735"/>
      <c r="E9" s="735"/>
      <c r="F9" s="735"/>
      <c r="G9" s="27"/>
      <c r="H9" s="3"/>
      <c r="I9" s="3"/>
      <c r="J9" s="3"/>
      <c r="K9" s="4"/>
      <c r="L9" s="4"/>
      <c r="M9" s="4"/>
      <c r="N9" s="4"/>
      <c r="O9" s="4"/>
      <c r="P9" s="4"/>
      <c r="Q9" s="4"/>
    </row>
    <row r="10" spans="1:17" ht="39" customHeight="1" thickBot="1" x14ac:dyDescent="0.25">
      <c r="A10" s="735" t="s">
        <v>81</v>
      </c>
      <c r="B10" s="735"/>
      <c r="C10" s="735"/>
      <c r="D10" s="735"/>
      <c r="E10" s="735"/>
      <c r="F10" s="735"/>
      <c r="G10" s="9"/>
      <c r="H10" s="3"/>
      <c r="I10" s="3"/>
      <c r="J10" s="109"/>
      <c r="K10" s="4"/>
      <c r="L10" s="4"/>
      <c r="M10" s="4"/>
      <c r="N10" s="4"/>
      <c r="O10" s="4"/>
      <c r="P10" s="4"/>
      <c r="Q10" s="4"/>
    </row>
    <row r="11" spans="1:17" ht="20.399999999999999" thickTop="1" x14ac:dyDescent="0.2">
      <c r="A11" s="53"/>
      <c r="B11" s="53"/>
      <c r="C11" s="53"/>
      <c r="D11" s="891" t="s">
        <v>177</v>
      </c>
      <c r="E11" s="159" t="str">
        <f>'Oferta Degivrare'!A19</f>
        <v>x</v>
      </c>
      <c r="F11" s="893" t="s">
        <v>234</v>
      </c>
      <c r="G11" s="894"/>
      <c r="H11" s="3"/>
      <c r="I11" s="3"/>
      <c r="J11" s="109"/>
      <c r="K11" s="4"/>
      <c r="L11" s="4"/>
      <c r="Q11" s="4"/>
    </row>
    <row r="12" spans="1:17" ht="20.399999999999999" thickBot="1" x14ac:dyDescent="0.25">
      <c r="A12" s="53"/>
      <c r="B12" s="53"/>
      <c r="C12" s="53"/>
      <c r="D12" s="892"/>
      <c r="E12" s="160">
        <f>'Oferta Degivrare'!A20</f>
        <v>0</v>
      </c>
      <c r="F12" s="895" t="s">
        <v>179</v>
      </c>
      <c r="G12" s="896"/>
      <c r="H12" s="3"/>
      <c r="I12" s="3"/>
      <c r="J12" s="109"/>
      <c r="K12" s="4"/>
      <c r="L12" s="4"/>
      <c r="Q12" s="4"/>
    </row>
    <row r="13" spans="1:17" ht="21" thickTop="1" thickBot="1" x14ac:dyDescent="0.25">
      <c r="A13" s="53"/>
      <c r="B13" s="53"/>
      <c r="C13" s="53"/>
      <c r="D13" s="107"/>
      <c r="E13" s="108"/>
      <c r="F13" s="61"/>
      <c r="G13" s="9"/>
      <c r="H13" s="3"/>
      <c r="I13" s="3"/>
      <c r="J13" s="109"/>
      <c r="K13" s="4"/>
      <c r="L13" s="4"/>
      <c r="Q13" s="4"/>
    </row>
    <row r="14" spans="1:17" ht="20.25" customHeight="1" x14ac:dyDescent="0.2">
      <c r="A14" s="53"/>
      <c r="B14" s="53"/>
      <c r="C14" s="53"/>
      <c r="D14" s="902" t="s">
        <v>209</v>
      </c>
      <c r="E14" s="200">
        <f>'Oferta Degivrare'!B23</f>
        <v>0</v>
      </c>
      <c r="F14" s="897" t="s">
        <v>239</v>
      </c>
      <c r="G14" s="898"/>
      <c r="H14" s="3"/>
      <c r="I14" s="3"/>
      <c r="J14" s="109"/>
      <c r="K14" s="4"/>
      <c r="L14" s="4"/>
      <c r="Q14" s="4"/>
    </row>
    <row r="15" spans="1:17" ht="19.8" x14ac:dyDescent="0.2">
      <c r="A15" s="3"/>
      <c r="B15" s="3"/>
      <c r="C15" s="3"/>
      <c r="D15" s="903"/>
      <c r="E15" s="199">
        <f>'Oferta Degivrare'!D23</f>
        <v>0</v>
      </c>
      <c r="F15" s="899" t="s">
        <v>240</v>
      </c>
      <c r="G15" s="900"/>
      <c r="H15" s="3"/>
      <c r="I15" s="3"/>
    </row>
    <row r="16" spans="1:17" ht="19.8" x14ac:dyDescent="0.2">
      <c r="A16" s="3"/>
      <c r="B16" s="3"/>
      <c r="C16" s="3"/>
      <c r="D16" s="903"/>
      <c r="E16" s="199">
        <f>'Oferta Degivrare'!F23</f>
        <v>0</v>
      </c>
      <c r="F16" s="899" t="s">
        <v>210</v>
      </c>
      <c r="G16" s="901"/>
      <c r="H16" s="3"/>
      <c r="I16" s="3"/>
    </row>
    <row r="17" spans="1:36" ht="19.8" x14ac:dyDescent="0.2">
      <c r="A17" s="3"/>
      <c r="B17" s="3"/>
      <c r="C17" s="3"/>
      <c r="D17" s="903"/>
      <c r="E17" s="199" t="str">
        <f>'Oferta Degivrare'!H23</f>
        <v>x</v>
      </c>
      <c r="F17" s="899" t="s">
        <v>235</v>
      </c>
      <c r="G17" s="901"/>
      <c r="H17" s="3"/>
      <c r="I17" s="3"/>
    </row>
    <row r="18" spans="1:36" ht="20.399999999999999" thickBot="1" x14ac:dyDescent="0.25">
      <c r="A18" s="3"/>
      <c r="B18" s="3"/>
      <c r="C18" s="3"/>
      <c r="D18" s="904"/>
      <c r="E18" s="203">
        <f>'Oferta Degivrare'!J23</f>
        <v>0</v>
      </c>
      <c r="F18" s="874" t="s">
        <v>255</v>
      </c>
      <c r="G18" s="875"/>
      <c r="H18" s="3"/>
      <c r="I18" s="3"/>
      <c r="J18" s="95"/>
      <c r="K18" s="106"/>
      <c r="L18" s="106"/>
      <c r="Q18" s="106"/>
      <c r="R18" s="106"/>
      <c r="S18" s="106"/>
      <c r="T18" s="106"/>
      <c r="U18" s="106"/>
      <c r="V18" s="106"/>
      <c r="W18" s="106"/>
      <c r="X18" s="106"/>
      <c r="Y18" s="106"/>
      <c r="Z18" s="106"/>
    </row>
    <row r="19" spans="1:36" ht="16.2" x14ac:dyDescent="0.2">
      <c r="A19" s="3"/>
      <c r="B19" s="3"/>
      <c r="C19" s="3"/>
      <c r="H19" s="3"/>
      <c r="I19" s="3"/>
      <c r="J19" s="95"/>
      <c r="Q19" s="106"/>
      <c r="R19" s="106"/>
      <c r="S19" s="106"/>
      <c r="T19" s="106"/>
      <c r="U19" s="106"/>
      <c r="V19" s="106"/>
      <c r="W19" s="106"/>
      <c r="X19" s="106"/>
      <c r="Y19" s="106"/>
      <c r="Z19" s="106"/>
    </row>
    <row r="20" spans="1:36" ht="16.05" customHeight="1" thickBot="1" x14ac:dyDescent="0.25">
      <c r="A20" s="3"/>
      <c r="B20" s="3"/>
      <c r="C20" s="3"/>
      <c r="H20" s="3"/>
      <c r="I20" s="66"/>
      <c r="J20" s="95"/>
      <c r="P20" s="106"/>
      <c r="Q20" s="106"/>
      <c r="R20" s="106"/>
      <c r="S20" s="106"/>
      <c r="T20" s="106"/>
      <c r="U20" s="106"/>
      <c r="V20" s="106"/>
      <c r="W20" s="106"/>
      <c r="X20" s="106"/>
      <c r="Y20" s="106"/>
      <c r="Z20" s="106"/>
    </row>
    <row r="21" spans="1:36" ht="30" customHeight="1" x14ac:dyDescent="0.2">
      <c r="A21" s="3"/>
      <c r="B21" s="3"/>
      <c r="C21" s="3"/>
      <c r="D21" s="204" t="s">
        <v>221</v>
      </c>
      <c r="E21" s="205" t="s">
        <v>222</v>
      </c>
      <c r="F21" s="201" t="s">
        <v>176</v>
      </c>
      <c r="G21" s="206" t="s">
        <v>191</v>
      </c>
      <c r="H21" s="3"/>
      <c r="I21" s="173" t="s">
        <v>258</v>
      </c>
      <c r="J21" s="174" t="s">
        <v>259</v>
      </c>
    </row>
    <row r="22" spans="1:36" ht="16.05" customHeight="1" thickBot="1" x14ac:dyDescent="0.25">
      <c r="A22" s="3"/>
      <c r="B22" s="3"/>
      <c r="C22" s="3"/>
      <c r="D22" s="207">
        <f>'Oferta Degivrare'!E20</f>
        <v>30</v>
      </c>
      <c r="E22" s="208">
        <f>'Oferta Degivrare'!F20</f>
        <v>-25</v>
      </c>
      <c r="F22" s="209">
        <f>'Oferta Degivrare'!G20</f>
        <v>17</v>
      </c>
      <c r="G22" s="210">
        <f>'Oferta Degivrare'!H20</f>
        <v>34</v>
      </c>
      <c r="H22" s="3"/>
      <c r="I22" s="171">
        <f>HLOOKUP($G$22,$L$26:$AA$37,MATCH($D$22,$J$26:$J$37,0)+MATCH($E$22,$K$29:$K$31,0)-1,0)</f>
        <v>8</v>
      </c>
      <c r="J22" s="172">
        <f>I22*F22</f>
        <v>136</v>
      </c>
      <c r="P22" s="4"/>
      <c r="Q22" s="4"/>
    </row>
    <row r="23" spans="1:36" ht="19.5" customHeight="1" thickBot="1" x14ac:dyDescent="0.25">
      <c r="A23" s="3"/>
      <c r="B23" s="3"/>
      <c r="C23" s="3"/>
      <c r="D23" s="3"/>
      <c r="E23" s="3"/>
      <c r="F23" s="3"/>
      <c r="G23" s="3"/>
      <c r="H23" s="3"/>
      <c r="I23" s="211"/>
      <c r="J23" s="175"/>
      <c r="K23" s="4"/>
      <c r="L23" s="4"/>
      <c r="M23" s="4"/>
      <c r="N23" s="4"/>
      <c r="O23" s="4"/>
      <c r="P23" s="4"/>
      <c r="Q23" s="4"/>
    </row>
    <row r="24" spans="1:36" ht="15" customHeight="1" thickTop="1" thickBot="1" x14ac:dyDescent="0.25">
      <c r="A24" s="3"/>
      <c r="B24" s="3"/>
      <c r="C24" s="3"/>
      <c r="D24" s="3"/>
      <c r="E24" s="3"/>
      <c r="F24" s="3"/>
      <c r="G24" s="3"/>
      <c r="H24" s="3"/>
      <c r="I24" s="3"/>
      <c r="J24" s="3"/>
      <c r="K24" s="883" t="s">
        <v>166</v>
      </c>
      <c r="L24" s="884"/>
      <c r="M24" s="884"/>
      <c r="N24" s="884"/>
      <c r="O24" s="884"/>
      <c r="P24" s="884"/>
      <c r="Q24" s="884"/>
      <c r="R24" s="884"/>
      <c r="S24" s="884"/>
      <c r="T24" s="884"/>
      <c r="U24" s="884"/>
      <c r="V24" s="884"/>
      <c r="W24" s="884"/>
      <c r="X24" s="884"/>
      <c r="Y24" s="884"/>
      <c r="Z24" s="884"/>
      <c r="AA24" s="885"/>
    </row>
    <row r="25" spans="1:36" ht="20.25" customHeight="1" thickTop="1" thickBot="1" x14ac:dyDescent="0.45">
      <c r="A25" s="741" t="s">
        <v>47</v>
      </c>
      <c r="B25" s="795"/>
      <c r="C25" s="795"/>
      <c r="D25" s="795"/>
      <c r="E25" s="795"/>
      <c r="F25" s="795"/>
      <c r="G25" s="795"/>
      <c r="H25" s="4"/>
      <c r="I25" s="4"/>
      <c r="K25" s="87" t="s">
        <v>231</v>
      </c>
      <c r="L25" s="110" t="s">
        <v>224</v>
      </c>
      <c r="M25" s="110" t="s">
        <v>225</v>
      </c>
      <c r="N25" s="110">
        <v>1</v>
      </c>
      <c r="O25" s="110" t="s">
        <v>226</v>
      </c>
      <c r="P25" s="110" t="s">
        <v>227</v>
      </c>
      <c r="Q25" s="110">
        <v>2</v>
      </c>
      <c r="R25" s="110" t="s">
        <v>228</v>
      </c>
      <c r="S25" s="110">
        <v>3</v>
      </c>
      <c r="T25" s="110" t="s">
        <v>229</v>
      </c>
      <c r="U25" s="110">
        <v>4</v>
      </c>
      <c r="V25" s="110" t="s">
        <v>230</v>
      </c>
      <c r="W25" s="110">
        <v>5</v>
      </c>
      <c r="X25" s="110">
        <v>6</v>
      </c>
      <c r="Y25" s="110">
        <v>8</v>
      </c>
      <c r="Z25" s="110">
        <v>10</v>
      </c>
      <c r="AA25" s="110">
        <v>12</v>
      </c>
    </row>
    <row r="26" spans="1:36" ht="25.5" customHeight="1" thickTop="1" thickBot="1" x14ac:dyDescent="0.25">
      <c r="A26" s="26" t="s">
        <v>1</v>
      </c>
      <c r="B26" s="737" t="s">
        <v>3</v>
      </c>
      <c r="C26" s="737" t="s">
        <v>4</v>
      </c>
      <c r="D26" s="737" t="s">
        <v>5</v>
      </c>
      <c r="E26" s="737" t="s">
        <v>6</v>
      </c>
      <c r="F26" s="26" t="s">
        <v>7</v>
      </c>
      <c r="G26" s="26" t="s">
        <v>9</v>
      </c>
      <c r="H26" s="4"/>
      <c r="I26" s="4"/>
      <c r="K26" s="111" t="s">
        <v>197</v>
      </c>
      <c r="L26" s="112">
        <v>21</v>
      </c>
      <c r="M26" s="112">
        <v>27</v>
      </c>
      <c r="N26" s="112">
        <v>34</v>
      </c>
      <c r="O26" s="112">
        <v>42</v>
      </c>
      <c r="P26" s="112">
        <v>48</v>
      </c>
      <c r="Q26" s="112">
        <v>60</v>
      </c>
      <c r="R26" s="112">
        <v>73</v>
      </c>
      <c r="S26" s="112">
        <v>89</v>
      </c>
      <c r="T26" s="112">
        <v>102</v>
      </c>
      <c r="U26" s="112">
        <v>114</v>
      </c>
      <c r="V26" s="112">
        <v>127</v>
      </c>
      <c r="W26" s="112">
        <v>141</v>
      </c>
      <c r="X26" s="112">
        <v>168</v>
      </c>
      <c r="Y26" s="112">
        <v>219</v>
      </c>
      <c r="Z26" s="112">
        <v>273</v>
      </c>
      <c r="AA26" s="112">
        <v>324</v>
      </c>
    </row>
    <row r="27" spans="1:36" ht="27.75" customHeight="1" thickTop="1" thickBot="1" x14ac:dyDescent="0.25">
      <c r="A27" s="176" t="s">
        <v>2</v>
      </c>
      <c r="B27" s="738"/>
      <c r="C27" s="738"/>
      <c r="D27" s="738"/>
      <c r="E27" s="738"/>
      <c r="F27" s="176" t="s">
        <v>8</v>
      </c>
      <c r="G27" s="176" t="s">
        <v>8</v>
      </c>
      <c r="H27" s="4"/>
      <c r="I27" s="69" t="s">
        <v>139</v>
      </c>
      <c r="K27" s="87" t="s">
        <v>196</v>
      </c>
      <c r="L27" s="98">
        <v>15</v>
      </c>
      <c r="M27" s="98">
        <v>20</v>
      </c>
      <c r="N27" s="98">
        <v>25</v>
      </c>
      <c r="O27" s="98">
        <v>32</v>
      </c>
      <c r="P27" s="98">
        <v>40</v>
      </c>
      <c r="Q27" s="98">
        <v>50</v>
      </c>
      <c r="R27" s="98">
        <v>65</v>
      </c>
      <c r="S27" s="98">
        <v>80</v>
      </c>
      <c r="T27" s="98">
        <v>90</v>
      </c>
      <c r="U27" s="98">
        <v>100</v>
      </c>
      <c r="V27" s="98">
        <v>115</v>
      </c>
      <c r="W27" s="98">
        <v>125</v>
      </c>
      <c r="X27" s="98">
        <v>150</v>
      </c>
      <c r="Y27" s="98">
        <v>200</v>
      </c>
      <c r="Z27" s="98">
        <v>250</v>
      </c>
      <c r="AA27" s="98">
        <v>300</v>
      </c>
    </row>
    <row r="28" spans="1:36" ht="16.05" customHeight="1" thickTop="1" thickBot="1" x14ac:dyDescent="0.25">
      <c r="A28" s="886" t="s">
        <v>192</v>
      </c>
      <c r="B28" s="887"/>
      <c r="C28" s="887"/>
      <c r="D28" s="887"/>
      <c r="E28" s="888"/>
      <c r="F28" s="888"/>
      <c r="G28" s="180"/>
      <c r="H28" s="245">
        <f>SUM(H29:H36)</f>
        <v>0</v>
      </c>
      <c r="I28" s="27" t="s">
        <v>140</v>
      </c>
      <c r="J28" s="114" t="s">
        <v>195</v>
      </c>
      <c r="K28" s="113" t="s">
        <v>223</v>
      </c>
      <c r="L28" s="905" t="s">
        <v>254</v>
      </c>
      <c r="M28" s="906"/>
      <c r="N28" s="906"/>
      <c r="O28" s="906"/>
      <c r="P28" s="906"/>
      <c r="Q28" s="906"/>
      <c r="R28" s="906"/>
      <c r="S28" s="906"/>
      <c r="T28" s="906"/>
      <c r="U28" s="906"/>
      <c r="V28" s="906"/>
      <c r="W28" s="906"/>
      <c r="X28" s="906"/>
      <c r="Y28" s="906"/>
      <c r="Z28" s="906"/>
      <c r="AA28" s="907"/>
      <c r="AJ28" s="115"/>
    </row>
    <row r="29" spans="1:36" ht="16.05" customHeight="1" thickTop="1" thickBot="1" x14ac:dyDescent="0.25">
      <c r="A29" s="177"/>
      <c r="B29" s="178">
        <v>150211</v>
      </c>
      <c r="C29" s="179" t="s">
        <v>83</v>
      </c>
      <c r="D29" s="178" t="s">
        <v>90</v>
      </c>
      <c r="E29" s="170">
        <f>IF(E14="x",HLOOKUP($G$22,$L$42:$AA$53,MATCH($D$22,$J$42:$J$53,0)+MATCH($E$22,$K$45:$K$47,0)-1,0),0)</f>
        <v>0</v>
      </c>
      <c r="F29" s="188">
        <v>5.5</v>
      </c>
      <c r="G29" s="189">
        <f t="shared" ref="G29:G36" si="0">E29*F29</f>
        <v>0</v>
      </c>
      <c r="H29" s="288">
        <f t="shared" ref="H29:H36" si="1">E29</f>
        <v>0</v>
      </c>
      <c r="I29" s="187">
        <f>E29*11</f>
        <v>0</v>
      </c>
      <c r="J29" s="144">
        <v>20</v>
      </c>
      <c r="K29" s="103">
        <v>-20</v>
      </c>
      <c r="L29" s="100">
        <v>7.7</v>
      </c>
      <c r="M29" s="100">
        <v>9</v>
      </c>
      <c r="N29" s="100">
        <v>10.5</v>
      </c>
      <c r="O29" s="100">
        <v>12.2</v>
      </c>
      <c r="P29" s="100">
        <v>13.5</v>
      </c>
      <c r="Q29" s="100">
        <v>16</v>
      </c>
      <c r="R29" s="100">
        <v>18.7</v>
      </c>
      <c r="S29" s="100">
        <v>22</v>
      </c>
      <c r="T29" s="100">
        <v>24.7</v>
      </c>
      <c r="U29" s="100">
        <v>27.1</v>
      </c>
      <c r="V29" s="100">
        <v>30</v>
      </c>
      <c r="W29" s="100">
        <v>33</v>
      </c>
      <c r="X29" s="100">
        <v>38</v>
      </c>
      <c r="Y29" s="100">
        <v>49</v>
      </c>
      <c r="Z29" s="100">
        <v>60</v>
      </c>
      <c r="AA29" s="100">
        <v>70</v>
      </c>
      <c r="AH29" s="247">
        <f>E29</f>
        <v>0</v>
      </c>
      <c r="AI29" s="254">
        <f>AH29</f>
        <v>0</v>
      </c>
      <c r="AJ29" s="115"/>
    </row>
    <row r="30" spans="1:36" ht="16.05" customHeight="1" thickTop="1" thickBot="1" x14ac:dyDescent="0.25">
      <c r="A30" s="121"/>
      <c r="B30" s="117">
        <v>150217</v>
      </c>
      <c r="C30" s="158" t="s">
        <v>84</v>
      </c>
      <c r="D30" s="116" t="s">
        <v>90</v>
      </c>
      <c r="E30" s="162">
        <f>IF(E15="x",HLOOKUP($G$22,$L$59:$AA$70,MATCH($D$22,$J$59:$J$70,0)+MATCH($E$22,$K$62:$K$64,0)-1,0),0)</f>
        <v>0</v>
      </c>
      <c r="F30" s="190">
        <v>5.5</v>
      </c>
      <c r="G30" s="191">
        <f t="shared" si="0"/>
        <v>0</v>
      </c>
      <c r="H30" s="288">
        <f t="shared" si="1"/>
        <v>0</v>
      </c>
      <c r="I30" s="187">
        <f>E30*17</f>
        <v>0</v>
      </c>
      <c r="J30" s="145">
        <v>20</v>
      </c>
      <c r="K30" s="104">
        <v>-25</v>
      </c>
      <c r="L30" s="101">
        <v>9.1999999999999993</v>
      </c>
      <c r="M30" s="101">
        <v>10.8</v>
      </c>
      <c r="N30" s="101">
        <v>12.6</v>
      </c>
      <c r="O30" s="101">
        <v>14.6</v>
      </c>
      <c r="P30" s="101">
        <v>16.2</v>
      </c>
      <c r="Q30" s="101">
        <v>19.2</v>
      </c>
      <c r="R30" s="101">
        <v>22.4</v>
      </c>
      <c r="S30" s="101">
        <v>26.4</v>
      </c>
      <c r="T30" s="101">
        <v>30</v>
      </c>
      <c r="U30" s="101">
        <v>33</v>
      </c>
      <c r="V30" s="101">
        <v>36</v>
      </c>
      <c r="W30" s="101">
        <v>39</v>
      </c>
      <c r="X30" s="101">
        <v>46</v>
      </c>
      <c r="Y30" s="101">
        <v>58</v>
      </c>
      <c r="Z30" s="101">
        <v>72</v>
      </c>
      <c r="AA30" s="101">
        <v>84</v>
      </c>
      <c r="AH30" s="247">
        <f t="shared" ref="AH30:AH36" si="2">E30</f>
        <v>0</v>
      </c>
      <c r="AI30" s="254">
        <f t="shared" ref="AI30:AI36" si="3">AH30</f>
        <v>0</v>
      </c>
    </row>
    <row r="31" spans="1:36" ht="16.05" customHeight="1" thickTop="1" thickBot="1" x14ac:dyDescent="0.25">
      <c r="A31" s="121"/>
      <c r="B31" s="119">
        <v>151020</v>
      </c>
      <c r="C31" s="120" t="s">
        <v>42</v>
      </c>
      <c r="D31" s="116" t="s">
        <v>90</v>
      </c>
      <c r="E31" s="162"/>
      <c r="F31" s="192">
        <v>6.6</v>
      </c>
      <c r="G31" s="191">
        <f t="shared" si="0"/>
        <v>0</v>
      </c>
      <c r="H31" s="288">
        <f t="shared" si="1"/>
        <v>0</v>
      </c>
      <c r="I31" s="187">
        <f>E31*20</f>
        <v>0</v>
      </c>
      <c r="J31" s="146">
        <v>20</v>
      </c>
      <c r="K31" s="105">
        <v>-35</v>
      </c>
      <c r="L31" s="102">
        <v>12.2</v>
      </c>
      <c r="M31" s="102">
        <v>14.4</v>
      </c>
      <c r="N31" s="102">
        <v>16.8</v>
      </c>
      <c r="O31" s="102">
        <v>19.5</v>
      </c>
      <c r="P31" s="102">
        <v>21.6</v>
      </c>
      <c r="Q31" s="102">
        <v>25.6</v>
      </c>
      <c r="R31" s="102">
        <v>30</v>
      </c>
      <c r="S31" s="102">
        <v>35</v>
      </c>
      <c r="T31" s="102">
        <v>39</v>
      </c>
      <c r="U31" s="102">
        <v>43</v>
      </c>
      <c r="V31" s="102">
        <v>48</v>
      </c>
      <c r="W31" s="102">
        <v>52</v>
      </c>
      <c r="X31" s="102">
        <v>61</v>
      </c>
      <c r="Y31" s="102">
        <v>78</v>
      </c>
      <c r="Z31" s="102">
        <v>96</v>
      </c>
      <c r="AA31" s="102">
        <v>112</v>
      </c>
      <c r="AH31" s="247">
        <f t="shared" si="2"/>
        <v>0</v>
      </c>
      <c r="AI31" s="254">
        <f t="shared" si="3"/>
        <v>0</v>
      </c>
    </row>
    <row r="32" spans="1:36" ht="16.05" customHeight="1" thickTop="1" thickBot="1" x14ac:dyDescent="0.25">
      <c r="A32" s="121"/>
      <c r="B32" s="119">
        <v>159000</v>
      </c>
      <c r="C32" s="120" t="s">
        <v>85</v>
      </c>
      <c r="D32" s="116" t="s">
        <v>90</v>
      </c>
      <c r="E32" s="162"/>
      <c r="F32" s="192">
        <v>6.6</v>
      </c>
      <c r="G32" s="191">
        <f t="shared" si="0"/>
        <v>0</v>
      </c>
      <c r="H32" s="288">
        <f t="shared" si="1"/>
        <v>0</v>
      </c>
      <c r="I32" s="187">
        <f>E32*10</f>
        <v>0</v>
      </c>
      <c r="J32" s="144">
        <v>30</v>
      </c>
      <c r="K32" s="103">
        <v>-20</v>
      </c>
      <c r="L32" s="100">
        <v>6</v>
      </c>
      <c r="M32" s="100">
        <v>7</v>
      </c>
      <c r="N32" s="100">
        <v>8</v>
      </c>
      <c r="O32" s="100">
        <v>9.1999999999999993</v>
      </c>
      <c r="P32" s="100">
        <v>10.1</v>
      </c>
      <c r="Q32" s="100">
        <v>11.8</v>
      </c>
      <c r="R32" s="100">
        <v>13.6</v>
      </c>
      <c r="S32" s="100">
        <v>15.8</v>
      </c>
      <c r="T32" s="100">
        <v>17.600000000000001</v>
      </c>
      <c r="U32" s="100">
        <v>19.3</v>
      </c>
      <c r="V32" s="100">
        <v>21.1</v>
      </c>
      <c r="W32" s="100">
        <v>23</v>
      </c>
      <c r="X32" s="100">
        <v>26.7</v>
      </c>
      <c r="Y32" s="100">
        <v>34</v>
      </c>
      <c r="Z32" s="100">
        <v>41</v>
      </c>
      <c r="AA32" s="100">
        <v>48</v>
      </c>
      <c r="AD32" s="49"/>
      <c r="AH32" s="247">
        <f t="shared" si="2"/>
        <v>0</v>
      </c>
      <c r="AI32" s="254">
        <f t="shared" si="3"/>
        <v>0</v>
      </c>
    </row>
    <row r="33" spans="1:47" ht="16.05" customHeight="1" thickTop="1" thickBot="1" x14ac:dyDescent="0.25">
      <c r="A33" s="121"/>
      <c r="B33" s="119">
        <v>159555</v>
      </c>
      <c r="C33" s="120" t="s">
        <v>86</v>
      </c>
      <c r="D33" s="116" t="s">
        <v>90</v>
      </c>
      <c r="E33" s="162"/>
      <c r="F33" s="192">
        <v>7.7</v>
      </c>
      <c r="G33" s="191">
        <f t="shared" si="0"/>
        <v>0</v>
      </c>
      <c r="H33" s="288">
        <f t="shared" si="1"/>
        <v>0</v>
      </c>
      <c r="I33" s="187">
        <f>E33*9</f>
        <v>0</v>
      </c>
      <c r="J33" s="145">
        <v>30</v>
      </c>
      <c r="K33" s="104">
        <v>-25</v>
      </c>
      <c r="L33" s="101">
        <v>6</v>
      </c>
      <c r="M33" s="101">
        <v>7</v>
      </c>
      <c r="N33" s="101">
        <v>8</v>
      </c>
      <c r="O33" s="101">
        <v>9.1999999999999993</v>
      </c>
      <c r="P33" s="101">
        <v>10.1</v>
      </c>
      <c r="Q33" s="101">
        <v>11.8</v>
      </c>
      <c r="R33" s="101">
        <v>13.6</v>
      </c>
      <c r="S33" s="101">
        <v>15.8</v>
      </c>
      <c r="T33" s="101">
        <v>17.600000000000001</v>
      </c>
      <c r="U33" s="101">
        <v>19.3</v>
      </c>
      <c r="V33" s="101">
        <v>21.1</v>
      </c>
      <c r="W33" s="101">
        <v>23</v>
      </c>
      <c r="X33" s="101">
        <v>26.7</v>
      </c>
      <c r="Y33" s="101">
        <v>34</v>
      </c>
      <c r="Z33" s="101">
        <v>41</v>
      </c>
      <c r="AA33" s="101">
        <v>48</v>
      </c>
      <c r="AH33" s="247">
        <f t="shared" si="2"/>
        <v>0</v>
      </c>
      <c r="AI33" s="254">
        <f t="shared" si="3"/>
        <v>0</v>
      </c>
      <c r="AM33" s="49"/>
    </row>
    <row r="34" spans="1:47" ht="16.05" customHeight="1" thickTop="1" thickBot="1" x14ac:dyDescent="0.25">
      <c r="A34" s="121"/>
      <c r="B34" s="119">
        <v>159565</v>
      </c>
      <c r="C34" s="120" t="s">
        <v>87</v>
      </c>
      <c r="D34" s="116" t="s">
        <v>90</v>
      </c>
      <c r="E34" s="162"/>
      <c r="F34" s="192">
        <v>7.7</v>
      </c>
      <c r="G34" s="191">
        <f t="shared" si="0"/>
        <v>0</v>
      </c>
      <c r="H34" s="288">
        <f t="shared" si="1"/>
        <v>0</v>
      </c>
      <c r="I34" s="187">
        <f>E34*12</f>
        <v>0</v>
      </c>
      <c r="J34" s="146">
        <v>30</v>
      </c>
      <c r="K34" s="105">
        <v>-35</v>
      </c>
      <c r="L34" s="102">
        <v>7.3</v>
      </c>
      <c r="M34" s="102">
        <v>8.4</v>
      </c>
      <c r="N34" s="102">
        <v>9.6</v>
      </c>
      <c r="O34" s="102">
        <v>11</v>
      </c>
      <c r="P34" s="102">
        <v>12.1</v>
      </c>
      <c r="Q34" s="102">
        <v>14.1</v>
      </c>
      <c r="R34" s="102">
        <v>16.3</v>
      </c>
      <c r="S34" s="102">
        <v>19</v>
      </c>
      <c r="T34" s="102">
        <v>21.2</v>
      </c>
      <c r="U34" s="102">
        <v>23.2</v>
      </c>
      <c r="V34" s="102">
        <v>25.3</v>
      </c>
      <c r="W34" s="102">
        <v>27.6</v>
      </c>
      <c r="X34" s="102">
        <v>32</v>
      </c>
      <c r="Y34" s="102">
        <v>40</v>
      </c>
      <c r="Z34" s="102">
        <v>49</v>
      </c>
      <c r="AA34" s="102">
        <v>58</v>
      </c>
      <c r="AH34" s="247">
        <f t="shared" si="2"/>
        <v>0</v>
      </c>
      <c r="AI34" s="254">
        <f t="shared" si="3"/>
        <v>0</v>
      </c>
      <c r="AM34" s="147"/>
      <c r="AS34" s="95"/>
      <c r="AT34" s="95"/>
      <c r="AU34" s="95"/>
    </row>
    <row r="35" spans="1:47" ht="16.05" customHeight="1" thickTop="1" thickBot="1" x14ac:dyDescent="0.25">
      <c r="A35" s="121"/>
      <c r="B35" s="119">
        <v>151025</v>
      </c>
      <c r="C35" s="120" t="s">
        <v>88</v>
      </c>
      <c r="D35" s="116" t="s">
        <v>90</v>
      </c>
      <c r="E35" s="162"/>
      <c r="F35" s="192">
        <v>6.6</v>
      </c>
      <c r="G35" s="191">
        <f t="shared" si="0"/>
        <v>0</v>
      </c>
      <c r="H35" s="288">
        <f t="shared" si="1"/>
        <v>0</v>
      </c>
      <c r="I35" s="187">
        <f>E35*25</f>
        <v>0</v>
      </c>
      <c r="J35" s="144">
        <v>50</v>
      </c>
      <c r="K35" s="103">
        <v>-20</v>
      </c>
      <c r="L35" s="100">
        <v>4.7</v>
      </c>
      <c r="M35" s="100">
        <v>5.3</v>
      </c>
      <c r="N35" s="100">
        <v>6</v>
      </c>
      <c r="O35" s="100">
        <v>6.7</v>
      </c>
      <c r="P35" s="100">
        <v>7.3</v>
      </c>
      <c r="Q35" s="100">
        <v>8.3000000000000007</v>
      </c>
      <c r="R35" s="100">
        <v>9.5</v>
      </c>
      <c r="S35" s="100">
        <v>10.8</v>
      </c>
      <c r="T35" s="100">
        <v>11.9</v>
      </c>
      <c r="U35" s="100">
        <v>13</v>
      </c>
      <c r="V35" s="100">
        <v>14.1</v>
      </c>
      <c r="W35" s="100">
        <v>15.2</v>
      </c>
      <c r="X35" s="100">
        <v>17.5</v>
      </c>
      <c r="Y35" s="100">
        <v>21.7</v>
      </c>
      <c r="Z35" s="100">
        <v>26.2</v>
      </c>
      <c r="AA35" s="100">
        <v>30.4</v>
      </c>
      <c r="AH35" s="247">
        <f t="shared" si="2"/>
        <v>0</v>
      </c>
      <c r="AI35" s="254">
        <f t="shared" si="3"/>
        <v>0</v>
      </c>
      <c r="AM35" s="49"/>
    </row>
    <row r="36" spans="1:47" ht="16.05" customHeight="1" thickTop="1" thickBot="1" x14ac:dyDescent="0.25">
      <c r="A36" s="181"/>
      <c r="B36" s="182">
        <v>151033</v>
      </c>
      <c r="C36" s="183" t="s">
        <v>89</v>
      </c>
      <c r="D36" s="184" t="s">
        <v>90</v>
      </c>
      <c r="E36" s="165"/>
      <c r="F36" s="193">
        <v>6.6</v>
      </c>
      <c r="G36" s="194">
        <f t="shared" si="0"/>
        <v>0</v>
      </c>
      <c r="H36" s="288">
        <f t="shared" si="1"/>
        <v>0</v>
      </c>
      <c r="I36" s="187">
        <f>E36*33</f>
        <v>0</v>
      </c>
      <c r="J36" s="145">
        <v>50</v>
      </c>
      <c r="K36" s="104">
        <v>-25</v>
      </c>
      <c r="L36" s="101">
        <v>5.6</v>
      </c>
      <c r="M36" s="101">
        <v>6.3</v>
      </c>
      <c r="N36" s="101">
        <v>7.1</v>
      </c>
      <c r="O36" s="101">
        <v>8</v>
      </c>
      <c r="P36" s="101">
        <v>8.6999999999999993</v>
      </c>
      <c r="Q36" s="101">
        <v>10</v>
      </c>
      <c r="R36" s="101">
        <v>11.4</v>
      </c>
      <c r="S36" s="101">
        <v>13</v>
      </c>
      <c r="T36" s="101">
        <v>14.3</v>
      </c>
      <c r="U36" s="101">
        <v>15.6</v>
      </c>
      <c r="V36" s="101">
        <v>16.899999999999999</v>
      </c>
      <c r="W36" s="101">
        <v>18.3</v>
      </c>
      <c r="X36" s="101">
        <v>21</v>
      </c>
      <c r="Y36" s="101">
        <v>26</v>
      </c>
      <c r="Z36" s="101">
        <v>31</v>
      </c>
      <c r="AA36" s="101">
        <v>36</v>
      </c>
      <c r="AH36" s="247">
        <f t="shared" si="2"/>
        <v>0</v>
      </c>
      <c r="AI36" s="254">
        <f t="shared" si="3"/>
        <v>0</v>
      </c>
      <c r="AM36" s="49"/>
    </row>
    <row r="37" spans="1:47" ht="16.05" customHeight="1" thickTop="1" thickBot="1" x14ac:dyDescent="0.25">
      <c r="A37" s="881" t="s">
        <v>243</v>
      </c>
      <c r="B37" s="882"/>
      <c r="C37" s="882"/>
      <c r="D37" s="882"/>
      <c r="E37" s="882"/>
      <c r="F37" s="882"/>
      <c r="G37" s="166"/>
      <c r="H37" s="245">
        <f>SUM(H38:H47)</f>
        <v>0</v>
      </c>
      <c r="I37" s="187"/>
      <c r="J37" s="146">
        <v>50</v>
      </c>
      <c r="K37" s="105">
        <v>-35</v>
      </c>
      <c r="L37" s="102">
        <v>7.5</v>
      </c>
      <c r="M37" s="102">
        <v>8.4</v>
      </c>
      <c r="N37" s="102">
        <v>9.5</v>
      </c>
      <c r="O37" s="102">
        <v>10.7</v>
      </c>
      <c r="P37" s="102">
        <v>11.6</v>
      </c>
      <c r="Q37" s="102">
        <v>13.3</v>
      </c>
      <c r="R37" s="102">
        <v>15.1</v>
      </c>
      <c r="S37" s="102">
        <v>17.3</v>
      </c>
      <c r="T37" s="102">
        <v>19.100000000000001</v>
      </c>
      <c r="U37" s="102">
        <v>20.7</v>
      </c>
      <c r="V37" s="102">
        <v>22.5</v>
      </c>
      <c r="W37" s="102">
        <v>24.4</v>
      </c>
      <c r="X37" s="102">
        <v>28</v>
      </c>
      <c r="Y37" s="102">
        <v>35</v>
      </c>
      <c r="Z37" s="102">
        <v>42</v>
      </c>
      <c r="AA37" s="102">
        <v>49</v>
      </c>
      <c r="AH37" s="246"/>
      <c r="AM37" s="49"/>
    </row>
    <row r="38" spans="1:47" ht="16.05" customHeight="1" x14ac:dyDescent="0.2">
      <c r="A38" s="167"/>
      <c r="B38" s="244">
        <v>220300</v>
      </c>
      <c r="C38" s="169" t="s">
        <v>244</v>
      </c>
      <c r="D38" s="168" t="s">
        <v>10</v>
      </c>
      <c r="E38" s="170">
        <f>IF(AND(E18="x",F22&lt;15,J22&lt;300),1,0)</f>
        <v>0</v>
      </c>
      <c r="F38" s="192">
        <v>26.950000000000003</v>
      </c>
      <c r="G38" s="191">
        <f t="shared" ref="G38:G47" si="4">E38*F38</f>
        <v>0</v>
      </c>
      <c r="H38" s="288">
        <f t="shared" ref="H38:H44" si="5">E38</f>
        <v>0</v>
      </c>
      <c r="I38" s="187">
        <f>E38*300</f>
        <v>0</v>
      </c>
      <c r="J38" s="61"/>
      <c r="K38" s="63"/>
      <c r="L38" s="63"/>
      <c r="M38" s="63"/>
      <c r="N38" s="63"/>
      <c r="O38" s="63"/>
      <c r="P38" s="63"/>
      <c r="Q38" s="63"/>
      <c r="R38" s="63"/>
      <c r="S38" s="63"/>
      <c r="T38" s="63"/>
      <c r="U38" s="63"/>
      <c r="V38" s="63"/>
      <c r="W38" s="63"/>
      <c r="X38" s="63"/>
      <c r="Y38" s="63"/>
      <c r="Z38" s="63"/>
      <c r="AA38" s="63"/>
      <c r="AH38" s="248">
        <v>15</v>
      </c>
      <c r="AI38" s="254">
        <f>AH38*E38</f>
        <v>0</v>
      </c>
      <c r="AM38" s="49"/>
    </row>
    <row r="39" spans="1:47" ht="16.05" customHeight="1" thickBot="1" x14ac:dyDescent="0.25">
      <c r="A39" s="126"/>
      <c r="B39" s="242">
        <v>220500</v>
      </c>
      <c r="C39" s="123" t="s">
        <v>245</v>
      </c>
      <c r="D39" s="122" t="s">
        <v>10</v>
      </c>
      <c r="E39" s="162">
        <f>IF(AND(E18="x",F22&lt;25,J22&lt;500,SUM(E38:E38)&lt;1),1,0)</f>
        <v>0</v>
      </c>
      <c r="F39" s="192">
        <v>40.04</v>
      </c>
      <c r="G39" s="191">
        <f t="shared" si="4"/>
        <v>0</v>
      </c>
      <c r="H39" s="288">
        <f t="shared" si="5"/>
        <v>0</v>
      </c>
      <c r="I39" s="187">
        <f>E39*500</f>
        <v>0</v>
      </c>
      <c r="J39" s="61"/>
      <c r="K39" s="879" t="s">
        <v>232</v>
      </c>
      <c r="L39" s="880"/>
      <c r="M39" s="880"/>
      <c r="N39" s="880"/>
      <c r="O39" s="880"/>
      <c r="P39" s="880"/>
      <c r="Q39" s="880"/>
      <c r="R39" s="880"/>
      <c r="S39" s="880"/>
      <c r="T39" s="880"/>
      <c r="U39" s="880"/>
      <c r="V39" s="880"/>
      <c r="W39" s="880"/>
      <c r="X39" s="880"/>
      <c r="Y39" s="880"/>
      <c r="Z39" s="880"/>
      <c r="AA39" s="880"/>
      <c r="AH39" s="249">
        <v>25</v>
      </c>
      <c r="AI39" s="254">
        <f t="shared" ref="AI39:AI70" si="6">AH39*E39</f>
        <v>0</v>
      </c>
      <c r="AM39" s="49"/>
    </row>
    <row r="40" spans="1:47" ht="16.05" customHeight="1" thickTop="1" thickBot="1" x14ac:dyDescent="0.25">
      <c r="A40" s="126"/>
      <c r="B40" s="242">
        <v>221000</v>
      </c>
      <c r="C40" s="123" t="s">
        <v>246</v>
      </c>
      <c r="D40" s="122" t="s">
        <v>10</v>
      </c>
      <c r="E40" s="162">
        <f>IF(AND(E18="x",F22&lt;50,J22&lt;1000,SUM(E38:E39)&lt;1),1,0)</f>
        <v>0</v>
      </c>
      <c r="F40" s="192">
        <v>81.290000000000006</v>
      </c>
      <c r="G40" s="191">
        <f t="shared" si="4"/>
        <v>0</v>
      </c>
      <c r="H40" s="288">
        <f t="shared" si="5"/>
        <v>0</v>
      </c>
      <c r="I40" s="187">
        <f>E40*1000</f>
        <v>0</v>
      </c>
      <c r="J40" s="61"/>
      <c r="K40" s="908" t="s">
        <v>166</v>
      </c>
      <c r="L40" s="909"/>
      <c r="M40" s="909"/>
      <c r="N40" s="909"/>
      <c r="O40" s="909"/>
      <c r="P40" s="909"/>
      <c r="Q40" s="909"/>
      <c r="R40" s="909"/>
      <c r="S40" s="909"/>
      <c r="T40" s="909"/>
      <c r="U40" s="909"/>
      <c r="V40" s="909"/>
      <c r="W40" s="909"/>
      <c r="X40" s="909"/>
      <c r="Y40" s="909"/>
      <c r="Z40" s="909"/>
      <c r="AA40" s="910"/>
      <c r="AH40" s="249">
        <v>50</v>
      </c>
      <c r="AI40" s="254">
        <f t="shared" si="6"/>
        <v>0</v>
      </c>
      <c r="AM40" s="49"/>
    </row>
    <row r="41" spans="1:47" ht="16.05" customHeight="1" thickTop="1" thickBot="1" x14ac:dyDescent="0.25">
      <c r="A41" s="126"/>
      <c r="B41" s="242">
        <v>221200</v>
      </c>
      <c r="C41" s="123" t="s">
        <v>248</v>
      </c>
      <c r="D41" s="122" t="s">
        <v>10</v>
      </c>
      <c r="E41" s="162">
        <f>IF(AND(E18="x",F22&lt;60,J22&lt;1200,SUM(E38:E40)&lt;1),1,0)</f>
        <v>0</v>
      </c>
      <c r="F41" s="192">
        <v>98.890000000000015</v>
      </c>
      <c r="G41" s="191">
        <f t="shared" si="4"/>
        <v>0</v>
      </c>
      <c r="H41" s="288">
        <f t="shared" si="5"/>
        <v>0</v>
      </c>
      <c r="I41" s="187">
        <f>E41*1250</f>
        <v>0</v>
      </c>
      <c r="J41" s="61"/>
      <c r="K41" s="87" t="s">
        <v>231</v>
      </c>
      <c r="L41" s="110" t="s">
        <v>224</v>
      </c>
      <c r="M41" s="110" t="s">
        <v>225</v>
      </c>
      <c r="N41" s="110">
        <v>1</v>
      </c>
      <c r="O41" s="110" t="s">
        <v>226</v>
      </c>
      <c r="P41" s="110" t="s">
        <v>227</v>
      </c>
      <c r="Q41" s="110">
        <v>2</v>
      </c>
      <c r="R41" s="110" t="s">
        <v>228</v>
      </c>
      <c r="S41" s="110">
        <v>3</v>
      </c>
      <c r="T41" s="110" t="s">
        <v>229</v>
      </c>
      <c r="U41" s="110">
        <v>4</v>
      </c>
      <c r="V41" s="110" t="s">
        <v>230</v>
      </c>
      <c r="W41" s="110">
        <v>5</v>
      </c>
      <c r="X41" s="110">
        <v>6</v>
      </c>
      <c r="Y41" s="110">
        <v>8</v>
      </c>
      <c r="Z41" s="110">
        <v>10</v>
      </c>
      <c r="AA41" s="110">
        <v>12</v>
      </c>
      <c r="AH41" s="249">
        <v>60</v>
      </c>
      <c r="AI41" s="254">
        <f t="shared" si="6"/>
        <v>0</v>
      </c>
      <c r="AM41" s="49"/>
    </row>
    <row r="42" spans="1:47" ht="16.05" customHeight="1" thickTop="1" thickBot="1" x14ac:dyDescent="0.25">
      <c r="A42" s="126"/>
      <c r="B42" s="242">
        <v>221600</v>
      </c>
      <c r="C42" s="123" t="s">
        <v>247</v>
      </c>
      <c r="D42" s="122" t="s">
        <v>10</v>
      </c>
      <c r="E42" s="162">
        <f>IF(AND(E18="x",F22&lt;80,J22&lt;1600,SUM(E38:E41)&lt;1),1,0)</f>
        <v>0</v>
      </c>
      <c r="F42" s="192">
        <v>137.83000000000001</v>
      </c>
      <c r="G42" s="191">
        <f t="shared" si="4"/>
        <v>0</v>
      </c>
      <c r="H42" s="288">
        <f t="shared" si="5"/>
        <v>0</v>
      </c>
      <c r="I42" s="187">
        <f>E42*1500</f>
        <v>0</v>
      </c>
      <c r="J42" s="61"/>
      <c r="K42" s="111" t="s">
        <v>197</v>
      </c>
      <c r="L42" s="112">
        <v>21</v>
      </c>
      <c r="M42" s="112">
        <v>27</v>
      </c>
      <c r="N42" s="112">
        <v>34</v>
      </c>
      <c r="O42" s="112">
        <v>42</v>
      </c>
      <c r="P42" s="112">
        <v>48</v>
      </c>
      <c r="Q42" s="112">
        <v>60</v>
      </c>
      <c r="R42" s="112">
        <v>73</v>
      </c>
      <c r="S42" s="112">
        <v>89</v>
      </c>
      <c r="T42" s="112">
        <v>102</v>
      </c>
      <c r="U42" s="112">
        <v>114</v>
      </c>
      <c r="V42" s="112">
        <v>127</v>
      </c>
      <c r="W42" s="112">
        <v>141</v>
      </c>
      <c r="X42" s="112">
        <v>168</v>
      </c>
      <c r="Y42" s="112">
        <v>219</v>
      </c>
      <c r="Z42" s="112">
        <v>273</v>
      </c>
      <c r="AA42" s="112">
        <v>324</v>
      </c>
      <c r="AH42" s="249">
        <v>80</v>
      </c>
      <c r="AI42" s="254">
        <f t="shared" si="6"/>
        <v>0</v>
      </c>
      <c r="AM42" s="49"/>
    </row>
    <row r="43" spans="1:47" ht="16.05" customHeight="1" thickTop="1" thickBot="1" x14ac:dyDescent="0.25">
      <c r="A43" s="126"/>
      <c r="B43" s="242">
        <v>221800</v>
      </c>
      <c r="C43" s="123" t="s">
        <v>253</v>
      </c>
      <c r="D43" s="122" t="s">
        <v>10</v>
      </c>
      <c r="E43" s="162">
        <f>IF(AND(E18="x",F22&lt;90,J22&lt;1800,SUM(E38:E42)&lt;1),1,0)</f>
        <v>0</v>
      </c>
      <c r="F43" s="192">
        <v>155.21</v>
      </c>
      <c r="G43" s="191">
        <f t="shared" si="4"/>
        <v>0</v>
      </c>
      <c r="H43" s="288">
        <f t="shared" si="5"/>
        <v>0</v>
      </c>
      <c r="I43" s="187">
        <f>E43*1700</f>
        <v>0</v>
      </c>
      <c r="J43" s="61"/>
      <c r="K43" s="56" t="s">
        <v>196</v>
      </c>
      <c r="L43" s="98">
        <v>15</v>
      </c>
      <c r="M43" s="98">
        <v>20</v>
      </c>
      <c r="N43" s="98">
        <v>25</v>
      </c>
      <c r="O43" s="98">
        <v>32</v>
      </c>
      <c r="P43" s="98">
        <v>40</v>
      </c>
      <c r="Q43" s="98">
        <v>50</v>
      </c>
      <c r="R43" s="98">
        <v>65</v>
      </c>
      <c r="S43" s="98">
        <v>80</v>
      </c>
      <c r="T43" s="98">
        <v>90</v>
      </c>
      <c r="U43" s="98">
        <v>100</v>
      </c>
      <c r="V43" s="98">
        <v>115</v>
      </c>
      <c r="W43" s="98">
        <v>125</v>
      </c>
      <c r="X43" s="98">
        <v>150</v>
      </c>
      <c r="Y43" s="98">
        <v>200</v>
      </c>
      <c r="Z43" s="98">
        <v>250</v>
      </c>
      <c r="AA43" s="98">
        <v>300</v>
      </c>
      <c r="AH43" s="249">
        <v>90</v>
      </c>
      <c r="AI43" s="254">
        <f t="shared" si="6"/>
        <v>0</v>
      </c>
      <c r="AM43" s="49"/>
    </row>
    <row r="44" spans="1:47" ht="16.05" customHeight="1" thickTop="1" thickBot="1" x14ac:dyDescent="0.25">
      <c r="A44" s="126"/>
      <c r="B44" s="242">
        <v>222000</v>
      </c>
      <c r="C44" s="123" t="s">
        <v>252</v>
      </c>
      <c r="D44" s="122" t="s">
        <v>10</v>
      </c>
      <c r="E44" s="162">
        <f>IF(AND(E18="x",F22&lt;100,J22&lt;2000,SUM(E38:E43)&lt;1),1,0)</f>
        <v>0</v>
      </c>
      <c r="F44" s="192">
        <v>173.14000000000001</v>
      </c>
      <c r="G44" s="191">
        <f t="shared" si="4"/>
        <v>0</v>
      </c>
      <c r="H44" s="288">
        <f t="shared" si="5"/>
        <v>0</v>
      </c>
      <c r="I44" s="187">
        <f>E44*2100</f>
        <v>0</v>
      </c>
      <c r="J44" s="61"/>
      <c r="K44" s="99" t="s">
        <v>223</v>
      </c>
      <c r="L44" s="876" t="s">
        <v>241</v>
      </c>
      <c r="M44" s="877"/>
      <c r="N44" s="877"/>
      <c r="O44" s="877"/>
      <c r="P44" s="877"/>
      <c r="Q44" s="877"/>
      <c r="R44" s="877"/>
      <c r="S44" s="877"/>
      <c r="T44" s="877"/>
      <c r="U44" s="877"/>
      <c r="V44" s="877"/>
      <c r="W44" s="877"/>
      <c r="X44" s="877"/>
      <c r="Y44" s="877"/>
      <c r="Z44" s="877"/>
      <c r="AA44" s="878"/>
      <c r="AH44" s="249">
        <v>100</v>
      </c>
      <c r="AI44" s="254">
        <f t="shared" si="6"/>
        <v>0</v>
      </c>
      <c r="AM44" s="148"/>
    </row>
    <row r="45" spans="1:47" ht="16.05" customHeight="1" x14ac:dyDescent="0.2">
      <c r="A45" s="126"/>
      <c r="B45" s="242">
        <v>222400</v>
      </c>
      <c r="C45" s="123" t="s">
        <v>251</v>
      </c>
      <c r="D45" s="122" t="s">
        <v>10</v>
      </c>
      <c r="E45" s="162">
        <f>IF(AND(E18="x",F22&lt;120,J22&lt;2400,SUM(E38:E44)&lt;1),1,0)</f>
        <v>0</v>
      </c>
      <c r="F45" s="192">
        <v>144.98000000000002</v>
      </c>
      <c r="G45" s="191">
        <f t="shared" si="4"/>
        <v>0</v>
      </c>
      <c r="H45" s="288">
        <f>E45</f>
        <v>0</v>
      </c>
      <c r="I45" s="187">
        <f>E45*2600</f>
        <v>0</v>
      </c>
      <c r="J45" s="144">
        <v>20</v>
      </c>
      <c r="K45" s="151">
        <v>-20</v>
      </c>
      <c r="L45" s="151">
        <f>F22</f>
        <v>17</v>
      </c>
      <c r="M45" s="151">
        <f>F22</f>
        <v>17</v>
      </c>
      <c r="N45" s="151">
        <f>F22</f>
        <v>17</v>
      </c>
      <c r="O45" s="151">
        <f>(ROUNDUP(F22*O29/11,0))</f>
        <v>19</v>
      </c>
      <c r="P45" s="151">
        <f>(ROUNDUP(F22*P29/11,0))</f>
        <v>21</v>
      </c>
      <c r="Q45" s="151">
        <f>(ROUNDUP(F22*Q29/11,0))</f>
        <v>25</v>
      </c>
      <c r="R45" s="151">
        <f>(ROUNDUP(F22*R29/11,0))</f>
        <v>29</v>
      </c>
      <c r="S45" s="151">
        <f>(ROUNDUP(F22*S29/11,0))</f>
        <v>34</v>
      </c>
      <c r="T45" s="151">
        <f>(ROUNDUP(F22*T29/11,0))</f>
        <v>39</v>
      </c>
      <c r="U45" s="151">
        <f>(ROUNDUP(F22*U29/11,0))</f>
        <v>42</v>
      </c>
      <c r="V45" s="151">
        <f>(ROUNDUP(F22*V29/11,0))</f>
        <v>47</v>
      </c>
      <c r="W45" s="151">
        <f>(ROUNDUP(F22*W29/11,0))</f>
        <v>51</v>
      </c>
      <c r="X45" s="151">
        <f>(ROUNDUP(F22*X29/11,0))</f>
        <v>59</v>
      </c>
      <c r="Y45" s="151">
        <f>(ROUNDUP(F22*Y29/11,0))</f>
        <v>76</v>
      </c>
      <c r="Z45" s="151">
        <f>(ROUNDUP(F22*Z29/11,0))</f>
        <v>93</v>
      </c>
      <c r="AA45" s="152">
        <f>(ROUNDUP(F22*AA29/11,0))</f>
        <v>109</v>
      </c>
      <c r="AH45" s="249">
        <v>120</v>
      </c>
      <c r="AI45" s="254">
        <f t="shared" si="6"/>
        <v>0</v>
      </c>
      <c r="AM45" s="147"/>
    </row>
    <row r="46" spans="1:47" ht="16.05" customHeight="1" x14ac:dyDescent="0.2">
      <c r="A46" s="126"/>
      <c r="B46" s="242">
        <v>222800</v>
      </c>
      <c r="C46" s="123" t="s">
        <v>250</v>
      </c>
      <c r="D46" s="122" t="s">
        <v>10</v>
      </c>
      <c r="E46" s="162">
        <f>IF(AND(E18="x",F22&lt;140,J22&lt;2800,SUM(E38:E45)&lt;1),1,0)</f>
        <v>0</v>
      </c>
      <c r="F46" s="192">
        <v>251.90000000000003</v>
      </c>
      <c r="G46" s="191">
        <f t="shared" si="4"/>
        <v>0</v>
      </c>
      <c r="H46" s="288">
        <f>E46</f>
        <v>0</v>
      </c>
      <c r="I46" s="187">
        <f>E46*2900</f>
        <v>0</v>
      </c>
      <c r="J46" s="145">
        <v>20</v>
      </c>
      <c r="K46" s="150">
        <v>-25</v>
      </c>
      <c r="L46" s="150">
        <f>F22</f>
        <v>17</v>
      </c>
      <c r="M46" s="150">
        <f>F22</f>
        <v>17</v>
      </c>
      <c r="N46" s="150">
        <f>(ROUNDUP(F22*N30/11,0))</f>
        <v>20</v>
      </c>
      <c r="O46" s="150">
        <f>(ROUNDUP(F22*O30/11,0))</f>
        <v>23</v>
      </c>
      <c r="P46" s="150">
        <f>(ROUNDUP(F22*P30/11,0))</f>
        <v>26</v>
      </c>
      <c r="Q46" s="150">
        <f>(ROUNDUP(F22*Q30/11,0))</f>
        <v>30</v>
      </c>
      <c r="R46" s="150">
        <f>(ROUNDUP(F22*R30/11,0))</f>
        <v>35</v>
      </c>
      <c r="S46" s="150">
        <f>(ROUNDUP(F22*S30/11,0))</f>
        <v>41</v>
      </c>
      <c r="T46" s="150">
        <f>(ROUNDUP(F22*T30/11,0))</f>
        <v>47</v>
      </c>
      <c r="U46" s="150">
        <f>(ROUNDUP(F22*U30/11,0))</f>
        <v>51</v>
      </c>
      <c r="V46" s="150">
        <f>(ROUNDUP(F22*V30/11,0))</f>
        <v>56</v>
      </c>
      <c r="W46" s="150">
        <f>(ROUNDUP(F22*W30/11,0))</f>
        <v>61</v>
      </c>
      <c r="X46" s="150">
        <f>(ROUNDUP(F22*X30/11,0))</f>
        <v>72</v>
      </c>
      <c r="Y46" s="150">
        <f>(ROUNDUP(F22*Y30/11,0))</f>
        <v>90</v>
      </c>
      <c r="Z46" s="150">
        <f>(ROUNDUP(F22*Z30/11,0))</f>
        <v>112</v>
      </c>
      <c r="AA46" s="153">
        <f>(ROUNDUP(F22*AA30/11,0))</f>
        <v>130</v>
      </c>
      <c r="AD46" s="49"/>
      <c r="AH46" s="249">
        <v>140</v>
      </c>
      <c r="AI46" s="254">
        <f t="shared" si="6"/>
        <v>0</v>
      </c>
    </row>
    <row r="47" spans="1:47" ht="16.05" customHeight="1" thickBot="1" x14ac:dyDescent="0.25">
      <c r="A47" s="136"/>
      <c r="B47" s="243">
        <v>223200</v>
      </c>
      <c r="C47" s="164" t="s">
        <v>249</v>
      </c>
      <c r="D47" s="139" t="s">
        <v>10</v>
      </c>
      <c r="E47" s="165">
        <f>IF(AND(E18="x",F22&lt;160,J22&lt;3200,SUM(E38:E46)&lt;1),1,0)</f>
        <v>0</v>
      </c>
      <c r="F47" s="192">
        <v>297.66000000000003</v>
      </c>
      <c r="G47" s="191">
        <f t="shared" si="4"/>
        <v>0</v>
      </c>
      <c r="H47" s="288">
        <f>E47</f>
        <v>0</v>
      </c>
      <c r="I47" s="187">
        <f>E47*3300</f>
        <v>0</v>
      </c>
      <c r="J47" s="149">
        <v>20</v>
      </c>
      <c r="K47" s="156">
        <v>-35</v>
      </c>
      <c r="L47" s="156">
        <f>(ROUNDUP(F22*L30/11,0))</f>
        <v>15</v>
      </c>
      <c r="M47" s="156">
        <f>(ROUNDUP(F22*M30/11,0))</f>
        <v>17</v>
      </c>
      <c r="N47" s="156">
        <f>(ROUNDUP(F22*N31/11,0))</f>
        <v>26</v>
      </c>
      <c r="O47" s="156">
        <f>(ROUNDUP(F22*O31/11,0))</f>
        <v>31</v>
      </c>
      <c r="P47" s="156">
        <f>(ROUNDUP(F22*P31/11,0))</f>
        <v>34</v>
      </c>
      <c r="Q47" s="156">
        <f>(ROUNDUP(F22*Q31/11,0))</f>
        <v>40</v>
      </c>
      <c r="R47" s="156">
        <f>(ROUNDUP(F22*R31/11,0))</f>
        <v>47</v>
      </c>
      <c r="S47" s="156">
        <f>(ROUNDUP(F22*S31/11,0))</f>
        <v>55</v>
      </c>
      <c r="T47" s="156">
        <f>(ROUNDUP(F22*T31/11,0))</f>
        <v>61</v>
      </c>
      <c r="U47" s="156">
        <f>(ROUNDUP(F22*U31/11,0))</f>
        <v>67</v>
      </c>
      <c r="V47" s="156">
        <f>(ROUNDUP(F22*V31/11,0))</f>
        <v>75</v>
      </c>
      <c r="W47" s="156">
        <f>(ROUNDUP(F22*W31/11,0))</f>
        <v>81</v>
      </c>
      <c r="X47" s="156">
        <f>(ROUNDUP(F22*X31/11,0))</f>
        <v>95</v>
      </c>
      <c r="Y47" s="156">
        <f>(ROUNDUP(F22*Y31/11,0))</f>
        <v>121</v>
      </c>
      <c r="Z47" s="156">
        <f>(ROUNDUP(F22*Z31/11,0))</f>
        <v>149</v>
      </c>
      <c r="AA47" s="157">
        <f>(ROUNDUP(F22*AA31/11,0))</f>
        <v>174</v>
      </c>
      <c r="AH47" s="250">
        <v>160</v>
      </c>
      <c r="AI47" s="254">
        <f t="shared" si="6"/>
        <v>0</v>
      </c>
    </row>
    <row r="48" spans="1:47" ht="16.05" customHeight="1" thickBot="1" x14ac:dyDescent="0.25">
      <c r="A48" s="881" t="s">
        <v>237</v>
      </c>
      <c r="B48" s="882"/>
      <c r="C48" s="882"/>
      <c r="D48" s="882"/>
      <c r="E48" s="882"/>
      <c r="F48" s="882"/>
      <c r="G48" s="185"/>
      <c r="H48" s="245">
        <f>SUM(H49:H59)</f>
        <v>1</v>
      </c>
      <c r="I48" s="187"/>
      <c r="J48" s="144">
        <v>30</v>
      </c>
      <c r="K48" s="151">
        <v>-20</v>
      </c>
      <c r="L48" s="151">
        <f>F22</f>
        <v>17</v>
      </c>
      <c r="M48" s="151">
        <f>F22</f>
        <v>17</v>
      </c>
      <c r="N48" s="151">
        <f>F22</f>
        <v>17</v>
      </c>
      <c r="O48" s="151">
        <f>F22</f>
        <v>17</v>
      </c>
      <c r="P48" s="151">
        <f>F22</f>
        <v>17</v>
      </c>
      <c r="Q48" s="151">
        <f>(ROUNDUP(F22*Q32/11,0))</f>
        <v>19</v>
      </c>
      <c r="R48" s="151">
        <f>(ROUNDUP(F22*R32/11,0))</f>
        <v>22</v>
      </c>
      <c r="S48" s="151">
        <f>(ROUNDUP(F22*S32/11,0))</f>
        <v>25</v>
      </c>
      <c r="T48" s="151">
        <f>(ROUNDUP(F22*T32/11,0))</f>
        <v>28</v>
      </c>
      <c r="U48" s="151">
        <f>(ROUNDUP(F22*U32/11,0))</f>
        <v>30</v>
      </c>
      <c r="V48" s="151">
        <f>(ROUNDUP(F22*V32/11,0))</f>
        <v>33</v>
      </c>
      <c r="W48" s="151">
        <f>(ROUNDUP(F22*W32/11,0))</f>
        <v>36</v>
      </c>
      <c r="X48" s="151">
        <f>(ROUNDUP(F22*X32/11,0))</f>
        <v>42</v>
      </c>
      <c r="Y48" s="151">
        <f>(ROUNDUP(F22*Y32/11,0))</f>
        <v>53</v>
      </c>
      <c r="Z48" s="151">
        <f>(ROUNDUP(F22*Z32/11,0))</f>
        <v>64</v>
      </c>
      <c r="AA48" s="152">
        <f>(ROUNDUP(F22*AA32/11,0))</f>
        <v>75</v>
      </c>
      <c r="AH48" s="246"/>
      <c r="AI48" s="254">
        <f t="shared" si="6"/>
        <v>0</v>
      </c>
    </row>
    <row r="49" spans="1:35" ht="16.05" customHeight="1" x14ac:dyDescent="0.2">
      <c r="A49" s="167"/>
      <c r="B49" s="168">
        <v>120300</v>
      </c>
      <c r="C49" s="169" t="s">
        <v>198</v>
      </c>
      <c r="D49" s="168" t="s">
        <v>10</v>
      </c>
      <c r="E49" s="170">
        <f>IF(AND(E17="x",F22&lt;17.6,J22&lt;300),1,0)</f>
        <v>1</v>
      </c>
      <c r="F49" s="192">
        <v>42</v>
      </c>
      <c r="G49" s="191">
        <f t="shared" ref="G49:G59" si="7">E49*F49</f>
        <v>42</v>
      </c>
      <c r="H49" s="288">
        <f t="shared" ref="H49:H59" si="8">E49</f>
        <v>1</v>
      </c>
      <c r="I49" s="187">
        <f>E49*300</f>
        <v>300</v>
      </c>
      <c r="J49" s="145">
        <v>30</v>
      </c>
      <c r="K49" s="150">
        <v>-25</v>
      </c>
      <c r="L49" s="150">
        <f>F22</f>
        <v>17</v>
      </c>
      <c r="M49" s="150">
        <f>F22</f>
        <v>17</v>
      </c>
      <c r="N49" s="150">
        <f>F22</f>
        <v>17</v>
      </c>
      <c r="O49" s="150">
        <f>F22</f>
        <v>17</v>
      </c>
      <c r="P49" s="150">
        <f>F22</f>
        <v>17</v>
      </c>
      <c r="Q49" s="150">
        <f>(ROUNDUP(F22*Q33/11,0))</f>
        <v>19</v>
      </c>
      <c r="R49" s="150">
        <f>(ROUNDUP(F22*R33/11,0))</f>
        <v>22</v>
      </c>
      <c r="S49" s="150">
        <f>(ROUNDUP(F22*S33/11,0))</f>
        <v>25</v>
      </c>
      <c r="T49" s="150">
        <f>(ROUNDUP(F22*T33/11,0))</f>
        <v>28</v>
      </c>
      <c r="U49" s="150">
        <f>(ROUNDUP(F22*U33/11,0))</f>
        <v>30</v>
      </c>
      <c r="V49" s="150">
        <f>(ROUNDUP(F22*V33/11,0))</f>
        <v>33</v>
      </c>
      <c r="W49" s="150">
        <f>(ROUNDUP(F22*W33/11,0))</f>
        <v>36</v>
      </c>
      <c r="X49" s="150">
        <f>(ROUNDUP(F22*X33/11,0))</f>
        <v>42</v>
      </c>
      <c r="Y49" s="150">
        <f>(ROUNDUP(F22*Y33/11,0))</f>
        <v>53</v>
      </c>
      <c r="Z49" s="150">
        <f>(ROUNDUP(F22*Z33/11,0))</f>
        <v>64</v>
      </c>
      <c r="AA49" s="153">
        <f>(ROUNDUP(F22*AA33/11,0))</f>
        <v>75</v>
      </c>
      <c r="AH49" s="248">
        <v>17.600000000000001</v>
      </c>
      <c r="AI49" s="254">
        <f t="shared" si="6"/>
        <v>17.600000000000001</v>
      </c>
    </row>
    <row r="50" spans="1:35" ht="16.05" customHeight="1" thickBot="1" x14ac:dyDescent="0.25">
      <c r="A50" s="126"/>
      <c r="B50" s="122">
        <v>120500</v>
      </c>
      <c r="C50" s="123" t="s">
        <v>199</v>
      </c>
      <c r="D50" s="122" t="s">
        <v>10</v>
      </c>
      <c r="E50" s="162">
        <f>IF(AND(E17="x",F22&lt;29.4,J22&lt;500,SUM(E49:E49)&lt;1),1,0)</f>
        <v>0</v>
      </c>
      <c r="F50" s="192">
        <v>62</v>
      </c>
      <c r="G50" s="191">
        <f t="shared" si="7"/>
        <v>0</v>
      </c>
      <c r="H50" s="288">
        <f t="shared" si="8"/>
        <v>0</v>
      </c>
      <c r="I50" s="187">
        <f>E50*500</f>
        <v>0</v>
      </c>
      <c r="J50" s="149">
        <v>30</v>
      </c>
      <c r="K50" s="156">
        <v>-35</v>
      </c>
      <c r="L50" s="156">
        <f>F22</f>
        <v>17</v>
      </c>
      <c r="M50" s="156">
        <f>F22</f>
        <v>17</v>
      </c>
      <c r="N50" s="156">
        <f>F22</f>
        <v>17</v>
      </c>
      <c r="O50" s="156">
        <f>F22</f>
        <v>17</v>
      </c>
      <c r="P50" s="156">
        <f>(ROUNDUP(F22*P34/11,0))</f>
        <v>19</v>
      </c>
      <c r="Q50" s="156">
        <f>(ROUNDUP(F22*Q34/11,0))</f>
        <v>22</v>
      </c>
      <c r="R50" s="156">
        <f>(ROUNDUP(F22*R34/11,0))</f>
        <v>26</v>
      </c>
      <c r="S50" s="156">
        <f>(ROUNDUP(F22*S34/11,0))</f>
        <v>30</v>
      </c>
      <c r="T50" s="156">
        <f>(ROUNDUP(F22*T34/11,0))</f>
        <v>33</v>
      </c>
      <c r="U50" s="156">
        <f>(ROUNDUP(F22*U34/11,0))</f>
        <v>36</v>
      </c>
      <c r="V50" s="156">
        <f>(ROUNDUP(F22*V34/11,0))</f>
        <v>40</v>
      </c>
      <c r="W50" s="156">
        <f>(ROUNDUP(F22*W34/11,0))</f>
        <v>43</v>
      </c>
      <c r="X50" s="156">
        <f>(ROUNDUP(F22*X34/11,0))</f>
        <v>50</v>
      </c>
      <c r="Y50" s="156">
        <f>(ROUNDUP(F22*Y34/11,0))</f>
        <v>62</v>
      </c>
      <c r="Z50" s="156">
        <f>(ROUNDUP(F22*Z34/11,0))</f>
        <v>76</v>
      </c>
      <c r="AA50" s="157">
        <f>(ROUNDUP(F22*AA34/11,0))</f>
        <v>90</v>
      </c>
      <c r="AH50" s="249">
        <v>29.4</v>
      </c>
      <c r="AI50" s="254">
        <f t="shared" si="6"/>
        <v>0</v>
      </c>
    </row>
    <row r="51" spans="1:35" ht="16.05" customHeight="1" x14ac:dyDescent="0.2">
      <c r="A51" s="126"/>
      <c r="B51" s="122">
        <v>120700</v>
      </c>
      <c r="C51" s="123" t="s">
        <v>200</v>
      </c>
      <c r="D51" s="122" t="s">
        <v>10</v>
      </c>
      <c r="E51" s="162">
        <f>IF(AND(E17="x",F22&lt;41.2,J22&lt;700,SUM(E49:E50)&lt;1),1,0)</f>
        <v>0</v>
      </c>
      <c r="F51" s="192">
        <v>75</v>
      </c>
      <c r="G51" s="191">
        <f t="shared" si="7"/>
        <v>0</v>
      </c>
      <c r="H51" s="288">
        <f t="shared" si="8"/>
        <v>0</v>
      </c>
      <c r="I51" s="187">
        <f>E51*700</f>
        <v>0</v>
      </c>
      <c r="J51" s="144">
        <v>50</v>
      </c>
      <c r="K51" s="151">
        <v>-20</v>
      </c>
      <c r="L51" s="151">
        <f>F22</f>
        <v>17</v>
      </c>
      <c r="M51" s="151">
        <f>F22</f>
        <v>17</v>
      </c>
      <c r="N51" s="151">
        <f>F22</f>
        <v>17</v>
      </c>
      <c r="O51" s="151">
        <f>F22</f>
        <v>17</v>
      </c>
      <c r="P51" s="151">
        <f>F22</f>
        <v>17</v>
      </c>
      <c r="Q51" s="151">
        <f>F22</f>
        <v>17</v>
      </c>
      <c r="R51" s="151">
        <f>F22</f>
        <v>17</v>
      </c>
      <c r="S51" s="151">
        <f>F22</f>
        <v>17</v>
      </c>
      <c r="T51" s="151">
        <f>(ROUNDUP(F22*T35/11,0))</f>
        <v>19</v>
      </c>
      <c r="U51" s="151">
        <f>(ROUNDUP(F22*U35/11,0))</f>
        <v>21</v>
      </c>
      <c r="V51" s="151">
        <f>(ROUNDUP(F22*V35/11,0))</f>
        <v>22</v>
      </c>
      <c r="W51" s="151">
        <f>(ROUNDUP(F22*W35/11,0))</f>
        <v>24</v>
      </c>
      <c r="X51" s="151">
        <f>(ROUNDUP(F22*X35/11,0))</f>
        <v>28</v>
      </c>
      <c r="Y51" s="151">
        <f>(ROUNDUP(F22*Y35/11,0))</f>
        <v>34</v>
      </c>
      <c r="Z51" s="151">
        <f>(ROUNDUP(F22*Z35/11,0))</f>
        <v>41</v>
      </c>
      <c r="AA51" s="152">
        <f>(ROUNDUP(F22*AA35/11,0))</f>
        <v>47</v>
      </c>
      <c r="AH51" s="249">
        <v>41.2</v>
      </c>
      <c r="AI51" s="254">
        <f t="shared" si="6"/>
        <v>0</v>
      </c>
    </row>
    <row r="52" spans="1:35" ht="16.05" customHeight="1" x14ac:dyDescent="0.2">
      <c r="A52" s="126"/>
      <c r="B52" s="122">
        <v>121000</v>
      </c>
      <c r="C52" s="123" t="s">
        <v>201</v>
      </c>
      <c r="D52" s="122" t="s">
        <v>10</v>
      </c>
      <c r="E52" s="162">
        <f>IF(AND(E17="x",F22&lt;58.8,J22&lt;1000,SUM(E49:E51)&lt;1),1,0)</f>
        <v>0</v>
      </c>
      <c r="F52" s="192">
        <v>107</v>
      </c>
      <c r="G52" s="191">
        <f t="shared" si="7"/>
        <v>0</v>
      </c>
      <c r="H52" s="288">
        <f t="shared" si="8"/>
        <v>0</v>
      </c>
      <c r="I52" s="187">
        <f>E52*1000</f>
        <v>0</v>
      </c>
      <c r="J52" s="145">
        <v>50</v>
      </c>
      <c r="K52" s="150">
        <v>-25</v>
      </c>
      <c r="L52" s="150">
        <f>F22</f>
        <v>17</v>
      </c>
      <c r="M52" s="150">
        <f>F22</f>
        <v>17</v>
      </c>
      <c r="N52" s="150">
        <f>F22</f>
        <v>17</v>
      </c>
      <c r="O52" s="150">
        <f>F22</f>
        <v>17</v>
      </c>
      <c r="P52" s="150">
        <f>F22</f>
        <v>17</v>
      </c>
      <c r="Q52" s="150">
        <f>F22</f>
        <v>17</v>
      </c>
      <c r="R52" s="150">
        <f>F22</f>
        <v>17</v>
      </c>
      <c r="S52" s="150">
        <f>(ROUNDUP(F22*S36/11,0))</f>
        <v>21</v>
      </c>
      <c r="T52" s="150">
        <f>(ROUNDUP(F22*T36/11,0))</f>
        <v>23</v>
      </c>
      <c r="U52" s="150">
        <f>(ROUNDUP(F22*U36/11,0))</f>
        <v>25</v>
      </c>
      <c r="V52" s="150">
        <f>(ROUNDUP(F22*V36/11,0))</f>
        <v>27</v>
      </c>
      <c r="W52" s="150">
        <f>(ROUNDUP(F22*W36/11,0))</f>
        <v>29</v>
      </c>
      <c r="X52" s="150">
        <f>(ROUNDUP(F22*X36/11,0))</f>
        <v>33</v>
      </c>
      <c r="Y52" s="150">
        <f>(ROUNDUP(F22*Y36/11,0))</f>
        <v>41</v>
      </c>
      <c r="Z52" s="150">
        <f>(ROUNDUP(F22*Z36/11,0))</f>
        <v>48</v>
      </c>
      <c r="AA52" s="153">
        <f>(ROUNDUP(F22*AA36/11,0))</f>
        <v>56</v>
      </c>
      <c r="AH52" s="249">
        <v>58.8</v>
      </c>
      <c r="AI52" s="254">
        <f t="shared" si="6"/>
        <v>0</v>
      </c>
    </row>
    <row r="53" spans="1:35" ht="16.05" customHeight="1" thickBot="1" x14ac:dyDescent="0.25">
      <c r="A53" s="126"/>
      <c r="B53" s="122">
        <v>121250</v>
      </c>
      <c r="C53" s="123" t="s">
        <v>202</v>
      </c>
      <c r="D53" s="122" t="s">
        <v>10</v>
      </c>
      <c r="E53" s="162">
        <f>IF(AND(E17="x",F22&lt;73.5,J22&lt;1250,SUM(E49:E52)&lt;1),1,0)</f>
        <v>0</v>
      </c>
      <c r="F53" s="192">
        <v>134</v>
      </c>
      <c r="G53" s="191">
        <f t="shared" si="7"/>
        <v>0</v>
      </c>
      <c r="H53" s="288">
        <f t="shared" si="8"/>
        <v>0</v>
      </c>
      <c r="I53" s="187">
        <f>E53*1250</f>
        <v>0</v>
      </c>
      <c r="J53" s="146">
        <v>50</v>
      </c>
      <c r="K53" s="154">
        <v>-35</v>
      </c>
      <c r="L53" s="154">
        <f>F22</f>
        <v>17</v>
      </c>
      <c r="M53" s="154">
        <f>F22</f>
        <v>17</v>
      </c>
      <c r="N53" s="154">
        <f>F22</f>
        <v>17</v>
      </c>
      <c r="O53" s="154">
        <f>F22</f>
        <v>17</v>
      </c>
      <c r="P53" s="154">
        <f>(ROUNDUP(F22*P37/11,0))</f>
        <v>18</v>
      </c>
      <c r="Q53" s="154">
        <f>(ROUNDUP(F22*Q37/11,0))</f>
        <v>21</v>
      </c>
      <c r="R53" s="154">
        <f>(ROUNDUP(F22*R37/11,0))</f>
        <v>24</v>
      </c>
      <c r="S53" s="154">
        <f>(ROUNDUP(F22*S37/11,0))</f>
        <v>27</v>
      </c>
      <c r="T53" s="154">
        <f>(ROUNDUP(F22*T37/11,0))</f>
        <v>30</v>
      </c>
      <c r="U53" s="154">
        <f>(ROUNDUP(F22*U37/11,0))</f>
        <v>32</v>
      </c>
      <c r="V53" s="154">
        <f>(ROUNDUP(F22*V37/11,0))</f>
        <v>35</v>
      </c>
      <c r="W53" s="154">
        <f>(ROUNDUP(F22*W37/11,0))</f>
        <v>38</v>
      </c>
      <c r="X53" s="154">
        <f>(ROUNDUP(F22*X37/11,0))</f>
        <v>44</v>
      </c>
      <c r="Y53" s="154">
        <f>(ROUNDUP(F22*Y37/11,0))</f>
        <v>55</v>
      </c>
      <c r="Z53" s="154">
        <f>(ROUNDUP(F22*Z37/11,0))</f>
        <v>65</v>
      </c>
      <c r="AA53" s="155">
        <f>(ROUNDUP(F22*AA37/11,0))</f>
        <v>76</v>
      </c>
      <c r="AH53" s="249">
        <v>73.5</v>
      </c>
      <c r="AI53" s="254">
        <f t="shared" si="6"/>
        <v>0</v>
      </c>
    </row>
    <row r="54" spans="1:35" ht="16.05" customHeight="1" x14ac:dyDescent="0.2">
      <c r="A54" s="126"/>
      <c r="B54" s="122">
        <v>121501</v>
      </c>
      <c r="C54" s="123" t="s">
        <v>203</v>
      </c>
      <c r="D54" s="122" t="s">
        <v>10</v>
      </c>
      <c r="E54" s="162">
        <f>IF(AND(E17="x",F22&lt;88.2,J22&lt;1500,SUM(E49:E53)&lt;1),1,0)</f>
        <v>0</v>
      </c>
      <c r="F54" s="192">
        <v>167</v>
      </c>
      <c r="G54" s="191">
        <f t="shared" si="7"/>
        <v>0</v>
      </c>
      <c r="H54" s="288">
        <f t="shared" si="8"/>
        <v>0</v>
      </c>
      <c r="I54" s="187">
        <f>E54*1500</f>
        <v>0</v>
      </c>
      <c r="J54" s="61"/>
      <c r="K54" s="61"/>
      <c r="L54" s="61"/>
      <c r="M54" s="61"/>
      <c r="N54" s="61"/>
      <c r="O54" s="61"/>
      <c r="P54" s="61"/>
      <c r="Q54" s="61"/>
      <c r="R54" s="61"/>
      <c r="S54" s="61"/>
      <c r="T54" s="61"/>
      <c r="U54" s="61"/>
      <c r="V54" s="61"/>
      <c r="W54" s="61"/>
      <c r="X54" s="61"/>
      <c r="Y54" s="61"/>
      <c r="Z54" s="61"/>
      <c r="AA54" s="61"/>
      <c r="AH54" s="249">
        <v>88.2</v>
      </c>
      <c r="AI54" s="254">
        <f t="shared" si="6"/>
        <v>0</v>
      </c>
    </row>
    <row r="55" spans="1:35" ht="16.05" customHeight="1" x14ac:dyDescent="0.2">
      <c r="A55" s="126"/>
      <c r="B55" s="122">
        <v>121700</v>
      </c>
      <c r="C55" s="123" t="s">
        <v>204</v>
      </c>
      <c r="D55" s="122" t="s">
        <v>10</v>
      </c>
      <c r="E55" s="162">
        <f>IF(AND(E17="x",F22&lt;100,J22&lt;1700,SUM(E49:E54)&lt;1),1,0)</f>
        <v>0</v>
      </c>
      <c r="F55" s="192">
        <v>178</v>
      </c>
      <c r="G55" s="191">
        <f t="shared" si="7"/>
        <v>0</v>
      </c>
      <c r="H55" s="288">
        <f t="shared" si="8"/>
        <v>0</v>
      </c>
      <c r="I55" s="187">
        <f>E55*1700</f>
        <v>0</v>
      </c>
      <c r="J55" s="61"/>
      <c r="K55" s="61"/>
      <c r="L55" s="61"/>
      <c r="M55" s="61"/>
      <c r="N55" s="61"/>
      <c r="O55" s="61"/>
      <c r="P55" s="61"/>
      <c r="Q55" s="61"/>
      <c r="R55" s="61"/>
      <c r="S55" s="61"/>
      <c r="T55" s="61"/>
      <c r="U55" s="63"/>
      <c r="V55" s="63"/>
      <c r="W55" s="63"/>
      <c r="X55" s="63"/>
      <c r="Y55" s="63"/>
      <c r="Z55" s="63"/>
      <c r="AA55" s="63"/>
      <c r="AH55" s="249">
        <v>100</v>
      </c>
      <c r="AI55" s="254">
        <f t="shared" si="6"/>
        <v>0</v>
      </c>
    </row>
    <row r="56" spans="1:35" ht="16.05" customHeight="1" thickBot="1" x14ac:dyDescent="0.25">
      <c r="A56" s="126"/>
      <c r="B56" s="122">
        <v>122100</v>
      </c>
      <c r="C56" s="123" t="s">
        <v>205</v>
      </c>
      <c r="D56" s="122" t="s">
        <v>10</v>
      </c>
      <c r="E56" s="162">
        <f>IF(AND(E17="x",F22&lt;123.5,J22&lt;2100,SUM(E49:E55)&lt;1),1,0)</f>
        <v>0</v>
      </c>
      <c r="F56" s="192">
        <v>222</v>
      </c>
      <c r="G56" s="191">
        <f t="shared" si="7"/>
        <v>0</v>
      </c>
      <c r="H56" s="288">
        <f>E56</f>
        <v>0</v>
      </c>
      <c r="I56" s="187">
        <f>E56*2100</f>
        <v>0</v>
      </c>
      <c r="J56" s="61"/>
      <c r="K56" s="827" t="s">
        <v>233</v>
      </c>
      <c r="L56" s="828"/>
      <c r="M56" s="828"/>
      <c r="N56" s="828"/>
      <c r="O56" s="828"/>
      <c r="P56" s="828"/>
      <c r="Q56" s="828"/>
      <c r="R56" s="828"/>
      <c r="S56" s="828"/>
      <c r="T56" s="828"/>
      <c r="U56" s="828"/>
      <c r="V56" s="828"/>
      <c r="W56" s="828"/>
      <c r="X56" s="828"/>
      <c r="Y56" s="828"/>
      <c r="Z56" s="828"/>
      <c r="AA56" s="828"/>
      <c r="AH56" s="249">
        <v>123.5</v>
      </c>
      <c r="AI56" s="254">
        <f t="shared" si="6"/>
        <v>0</v>
      </c>
    </row>
    <row r="57" spans="1:35" ht="16.05" customHeight="1" x14ac:dyDescent="0.2">
      <c r="A57" s="126"/>
      <c r="B57" s="122">
        <v>122600</v>
      </c>
      <c r="C57" s="123" t="s">
        <v>206</v>
      </c>
      <c r="D57" s="122" t="s">
        <v>10</v>
      </c>
      <c r="E57" s="162">
        <f>IF(AND(E17="x",F22&lt;152.9,J22&lt;2600,SUM(E49:E56)&lt;1),1,0)</f>
        <v>0</v>
      </c>
      <c r="F57" s="192">
        <v>266</v>
      </c>
      <c r="G57" s="191">
        <f t="shared" si="7"/>
        <v>0</v>
      </c>
      <c r="H57" s="288">
        <f>E57</f>
        <v>0</v>
      </c>
      <c r="I57" s="187">
        <f>E57*2600</f>
        <v>0</v>
      </c>
      <c r="J57" s="61"/>
      <c r="K57" s="829" t="s">
        <v>166</v>
      </c>
      <c r="L57" s="830"/>
      <c r="M57" s="830"/>
      <c r="N57" s="830"/>
      <c r="O57" s="830"/>
      <c r="P57" s="830"/>
      <c r="Q57" s="830"/>
      <c r="R57" s="830"/>
      <c r="S57" s="830"/>
      <c r="T57" s="830"/>
      <c r="U57" s="830"/>
      <c r="V57" s="830"/>
      <c r="W57" s="830"/>
      <c r="X57" s="830"/>
      <c r="Y57" s="830"/>
      <c r="Z57" s="830"/>
      <c r="AA57" s="831"/>
      <c r="AH57" s="249">
        <v>152.9</v>
      </c>
      <c r="AI57" s="254">
        <f t="shared" si="6"/>
        <v>0</v>
      </c>
    </row>
    <row r="58" spans="1:35" ht="16.05" customHeight="1" x14ac:dyDescent="0.2">
      <c r="A58" s="126"/>
      <c r="B58" s="122">
        <v>122900</v>
      </c>
      <c r="C58" s="123" t="s">
        <v>207</v>
      </c>
      <c r="D58" s="122" t="s">
        <v>10</v>
      </c>
      <c r="E58" s="162">
        <f>IF(AND(E17="x",F22&lt;170.6,J22&lt;2900,SUM(E49:E57)&lt;1),1,0)</f>
        <v>0</v>
      </c>
      <c r="F58" s="192">
        <v>295</v>
      </c>
      <c r="G58" s="191">
        <f t="shared" si="7"/>
        <v>0</v>
      </c>
      <c r="H58" s="288">
        <f t="shared" si="8"/>
        <v>0</v>
      </c>
      <c r="I58" s="187">
        <f>E58*2900</f>
        <v>0</v>
      </c>
      <c r="J58" s="61"/>
      <c r="K58" s="231" t="s">
        <v>231</v>
      </c>
      <c r="L58" s="222" t="s">
        <v>224</v>
      </c>
      <c r="M58" s="222" t="s">
        <v>225</v>
      </c>
      <c r="N58" s="222">
        <v>1</v>
      </c>
      <c r="O58" s="222" t="s">
        <v>226</v>
      </c>
      <c r="P58" s="222" t="s">
        <v>227</v>
      </c>
      <c r="Q58" s="222">
        <v>2</v>
      </c>
      <c r="R58" s="222" t="s">
        <v>228</v>
      </c>
      <c r="S58" s="222">
        <v>3</v>
      </c>
      <c r="T58" s="222" t="s">
        <v>229</v>
      </c>
      <c r="U58" s="222">
        <v>4</v>
      </c>
      <c r="V58" s="222" t="s">
        <v>230</v>
      </c>
      <c r="W58" s="222">
        <v>5</v>
      </c>
      <c r="X58" s="222">
        <v>6</v>
      </c>
      <c r="Y58" s="222">
        <v>8</v>
      </c>
      <c r="Z58" s="222">
        <v>10</v>
      </c>
      <c r="AA58" s="232">
        <v>12</v>
      </c>
      <c r="AH58" s="249">
        <v>170.6</v>
      </c>
      <c r="AI58" s="254">
        <f t="shared" si="6"/>
        <v>0</v>
      </c>
    </row>
    <row r="59" spans="1:35" ht="16.05" customHeight="1" thickBot="1" x14ac:dyDescent="0.25">
      <c r="A59" s="136"/>
      <c r="B59" s="139">
        <v>123200</v>
      </c>
      <c r="C59" s="164" t="s">
        <v>208</v>
      </c>
      <c r="D59" s="139" t="s">
        <v>10</v>
      </c>
      <c r="E59" s="165">
        <f>IF(AND(E17="x",F22&lt;194.1,J22&lt;3300,SUM(E49:E58)&lt;1),1,0)</f>
        <v>0</v>
      </c>
      <c r="F59" s="192">
        <v>338</v>
      </c>
      <c r="G59" s="191">
        <f t="shared" si="7"/>
        <v>0</v>
      </c>
      <c r="H59" s="288">
        <f t="shared" si="8"/>
        <v>0</v>
      </c>
      <c r="I59" s="187">
        <f>E59*3300</f>
        <v>0</v>
      </c>
      <c r="J59" s="61"/>
      <c r="K59" s="233" t="s">
        <v>197</v>
      </c>
      <c r="L59" s="223">
        <v>21</v>
      </c>
      <c r="M59" s="223">
        <v>27</v>
      </c>
      <c r="N59" s="223">
        <v>34</v>
      </c>
      <c r="O59" s="223">
        <v>42</v>
      </c>
      <c r="P59" s="223">
        <v>48</v>
      </c>
      <c r="Q59" s="223">
        <v>60</v>
      </c>
      <c r="R59" s="223">
        <v>73</v>
      </c>
      <c r="S59" s="223">
        <v>89</v>
      </c>
      <c r="T59" s="223">
        <v>102</v>
      </c>
      <c r="U59" s="223">
        <v>114</v>
      </c>
      <c r="V59" s="223">
        <v>127</v>
      </c>
      <c r="W59" s="223">
        <v>141</v>
      </c>
      <c r="X59" s="223">
        <v>168</v>
      </c>
      <c r="Y59" s="223">
        <v>219</v>
      </c>
      <c r="Z59" s="223">
        <v>273</v>
      </c>
      <c r="AA59" s="224">
        <v>324</v>
      </c>
      <c r="AH59" s="250">
        <v>194.1</v>
      </c>
      <c r="AI59" s="254">
        <f t="shared" si="6"/>
        <v>0</v>
      </c>
    </row>
    <row r="60" spans="1:35" ht="16.5" customHeight="1" thickBot="1" x14ac:dyDescent="0.25">
      <c r="A60" s="881" t="s">
        <v>238</v>
      </c>
      <c r="B60" s="882"/>
      <c r="C60" s="882"/>
      <c r="D60" s="882"/>
      <c r="E60" s="882"/>
      <c r="F60" s="882"/>
      <c r="G60" s="185"/>
      <c r="H60" s="245">
        <f>SUM(H61:H70)</f>
        <v>0</v>
      </c>
      <c r="I60" s="187"/>
      <c r="J60" s="61"/>
      <c r="K60" s="202" t="s">
        <v>196</v>
      </c>
      <c r="L60" s="225">
        <v>15</v>
      </c>
      <c r="M60" s="225">
        <v>20</v>
      </c>
      <c r="N60" s="225">
        <v>25</v>
      </c>
      <c r="O60" s="225">
        <v>32</v>
      </c>
      <c r="P60" s="225">
        <v>40</v>
      </c>
      <c r="Q60" s="225">
        <v>50</v>
      </c>
      <c r="R60" s="225">
        <v>65</v>
      </c>
      <c r="S60" s="225">
        <v>80</v>
      </c>
      <c r="T60" s="225">
        <v>90</v>
      </c>
      <c r="U60" s="225">
        <v>100</v>
      </c>
      <c r="V60" s="225">
        <v>115</v>
      </c>
      <c r="W60" s="225">
        <v>125</v>
      </c>
      <c r="X60" s="225">
        <v>150</v>
      </c>
      <c r="Y60" s="225">
        <v>200</v>
      </c>
      <c r="Z60" s="225">
        <v>250</v>
      </c>
      <c r="AA60" s="226">
        <v>300</v>
      </c>
      <c r="AH60" s="246"/>
      <c r="AI60" s="254">
        <f t="shared" si="6"/>
        <v>0</v>
      </c>
    </row>
    <row r="61" spans="1:35" ht="16.05" customHeight="1" thickBot="1" x14ac:dyDescent="0.25">
      <c r="A61" s="124"/>
      <c r="B61" s="128">
        <v>120107</v>
      </c>
      <c r="C61" s="129" t="s">
        <v>211</v>
      </c>
      <c r="D61" s="125" t="s">
        <v>10</v>
      </c>
      <c r="E61" s="161">
        <f>IF(AND(E16="x",F22&lt;10,J22&lt;100),1,0)</f>
        <v>0</v>
      </c>
      <c r="F61" s="192">
        <v>32.67</v>
      </c>
      <c r="G61" s="191">
        <f t="shared" ref="G61:G70" si="9">E61*F61</f>
        <v>0</v>
      </c>
      <c r="H61" s="288">
        <f t="shared" ref="H61:H76" si="10">E61</f>
        <v>0</v>
      </c>
      <c r="I61" s="187">
        <f>E61*100</f>
        <v>0</v>
      </c>
      <c r="J61" s="61"/>
      <c r="K61" s="230" t="s">
        <v>223</v>
      </c>
      <c r="L61" s="832" t="s">
        <v>242</v>
      </c>
      <c r="M61" s="833"/>
      <c r="N61" s="833"/>
      <c r="O61" s="833"/>
      <c r="P61" s="833"/>
      <c r="Q61" s="833"/>
      <c r="R61" s="833"/>
      <c r="S61" s="833"/>
      <c r="T61" s="833"/>
      <c r="U61" s="833"/>
      <c r="V61" s="833"/>
      <c r="W61" s="833"/>
      <c r="X61" s="833"/>
      <c r="Y61" s="833"/>
      <c r="Z61" s="833"/>
      <c r="AA61" s="834"/>
      <c r="AH61" s="251">
        <v>10</v>
      </c>
      <c r="AI61" s="254">
        <f t="shared" si="6"/>
        <v>0</v>
      </c>
    </row>
    <row r="62" spans="1:35" ht="16.05" customHeight="1" x14ac:dyDescent="0.2">
      <c r="A62" s="126"/>
      <c r="B62" s="118">
        <v>120207</v>
      </c>
      <c r="C62" s="127" t="s">
        <v>212</v>
      </c>
      <c r="D62" s="122" t="s">
        <v>10</v>
      </c>
      <c r="E62" s="162">
        <f>IF(AND(E16="x",F22&lt;20,J22&lt;200,SUM(E61:E61)&lt;1),1,0)</f>
        <v>0</v>
      </c>
      <c r="F62" s="192">
        <v>45.1</v>
      </c>
      <c r="G62" s="191">
        <f t="shared" si="9"/>
        <v>0</v>
      </c>
      <c r="H62" s="288">
        <f t="shared" si="10"/>
        <v>0</v>
      </c>
      <c r="I62" s="187">
        <f>E62*200</f>
        <v>0</v>
      </c>
      <c r="J62" s="144">
        <v>20</v>
      </c>
      <c r="K62" s="218">
        <v>-20</v>
      </c>
      <c r="L62" s="219">
        <f t="shared" ref="L62:AA62" si="11">IF(L29&gt;=17,ROUNDUP($F$22*L29/17,0),$F$22)</f>
        <v>17</v>
      </c>
      <c r="M62" s="220">
        <f t="shared" si="11"/>
        <v>17</v>
      </c>
      <c r="N62" s="220">
        <f t="shared" si="11"/>
        <v>17</v>
      </c>
      <c r="O62" s="220">
        <f t="shared" si="11"/>
        <v>17</v>
      </c>
      <c r="P62" s="220">
        <f t="shared" si="11"/>
        <v>17</v>
      </c>
      <c r="Q62" s="220">
        <f t="shared" si="11"/>
        <v>17</v>
      </c>
      <c r="R62" s="220">
        <f t="shared" si="11"/>
        <v>19</v>
      </c>
      <c r="S62" s="220">
        <f t="shared" si="11"/>
        <v>22</v>
      </c>
      <c r="T62" s="220">
        <f t="shared" si="11"/>
        <v>25</v>
      </c>
      <c r="U62" s="220">
        <f t="shared" si="11"/>
        <v>28</v>
      </c>
      <c r="V62" s="220">
        <f t="shared" si="11"/>
        <v>30</v>
      </c>
      <c r="W62" s="220">
        <f t="shared" si="11"/>
        <v>33</v>
      </c>
      <c r="X62" s="220">
        <f t="shared" si="11"/>
        <v>38</v>
      </c>
      <c r="Y62" s="220">
        <f t="shared" si="11"/>
        <v>49</v>
      </c>
      <c r="Z62" s="220">
        <f t="shared" si="11"/>
        <v>60</v>
      </c>
      <c r="AA62" s="221">
        <f t="shared" si="11"/>
        <v>70</v>
      </c>
      <c r="AH62" s="252">
        <v>20</v>
      </c>
      <c r="AI62" s="254">
        <f t="shared" si="6"/>
        <v>0</v>
      </c>
    </row>
    <row r="63" spans="1:35" ht="19.8" x14ac:dyDescent="0.2">
      <c r="A63" s="126"/>
      <c r="B63" s="118">
        <v>120307</v>
      </c>
      <c r="C63" s="127" t="s">
        <v>213</v>
      </c>
      <c r="D63" s="122" t="s">
        <v>10</v>
      </c>
      <c r="E63" s="162">
        <f>IF(AND(E16="x",F22&lt;30,J22&lt;300,SUM(E61:E62)&lt;1),1,0)</f>
        <v>0</v>
      </c>
      <c r="F63" s="192">
        <v>60.5</v>
      </c>
      <c r="G63" s="191">
        <f t="shared" si="9"/>
        <v>0</v>
      </c>
      <c r="H63" s="288">
        <f t="shared" si="10"/>
        <v>0</v>
      </c>
      <c r="I63" s="187">
        <f>E63*300</f>
        <v>0</v>
      </c>
      <c r="J63" s="145">
        <v>20</v>
      </c>
      <c r="K63" s="213">
        <v>-25</v>
      </c>
      <c r="L63" s="216">
        <f t="shared" ref="L63:AA63" si="12">IF(L30&gt;=17,ROUNDUP($F$22*L30/17,0),$F$22)</f>
        <v>17</v>
      </c>
      <c r="M63" s="150">
        <f t="shared" si="12"/>
        <v>17</v>
      </c>
      <c r="N63" s="150">
        <f t="shared" si="12"/>
        <v>17</v>
      </c>
      <c r="O63" s="150">
        <f t="shared" si="12"/>
        <v>17</v>
      </c>
      <c r="P63" s="150">
        <f t="shared" si="12"/>
        <v>17</v>
      </c>
      <c r="Q63" s="150">
        <f t="shared" si="12"/>
        <v>20</v>
      </c>
      <c r="R63" s="150">
        <f t="shared" si="12"/>
        <v>23</v>
      </c>
      <c r="S63" s="150">
        <f t="shared" si="12"/>
        <v>27</v>
      </c>
      <c r="T63" s="150">
        <f t="shared" si="12"/>
        <v>30</v>
      </c>
      <c r="U63" s="150">
        <f t="shared" si="12"/>
        <v>33</v>
      </c>
      <c r="V63" s="150">
        <f t="shared" si="12"/>
        <v>36</v>
      </c>
      <c r="W63" s="150">
        <f t="shared" si="12"/>
        <v>39</v>
      </c>
      <c r="X63" s="150">
        <f t="shared" si="12"/>
        <v>46</v>
      </c>
      <c r="Y63" s="150">
        <f t="shared" si="12"/>
        <v>58</v>
      </c>
      <c r="Z63" s="150">
        <f t="shared" si="12"/>
        <v>72</v>
      </c>
      <c r="AA63" s="153">
        <f t="shared" si="12"/>
        <v>84</v>
      </c>
      <c r="AH63" s="252">
        <v>30</v>
      </c>
      <c r="AI63" s="254">
        <f t="shared" si="6"/>
        <v>0</v>
      </c>
    </row>
    <row r="64" spans="1:35" ht="16.05" customHeight="1" thickBot="1" x14ac:dyDescent="0.25">
      <c r="A64" s="126"/>
      <c r="B64" s="118">
        <v>120407</v>
      </c>
      <c r="C64" s="127" t="s">
        <v>214</v>
      </c>
      <c r="D64" s="122" t="s">
        <v>10</v>
      </c>
      <c r="E64" s="163">
        <f>IF(AND(E16="x",F22&lt;40,J22&lt;400,SUM(E61:E63)&lt;1),1,0)</f>
        <v>0</v>
      </c>
      <c r="F64" s="192">
        <v>74.8</v>
      </c>
      <c r="G64" s="191">
        <f t="shared" si="9"/>
        <v>0</v>
      </c>
      <c r="H64" s="288">
        <f t="shared" si="10"/>
        <v>0</v>
      </c>
      <c r="I64" s="187">
        <f>E64*400</f>
        <v>0</v>
      </c>
      <c r="J64" s="146">
        <v>20</v>
      </c>
      <c r="K64" s="214">
        <v>-35</v>
      </c>
      <c r="L64" s="217">
        <f t="shared" ref="L64:AA64" si="13">IF(L31&gt;=17,ROUNDUP($F$22*L31/17,0),$F$22)</f>
        <v>17</v>
      </c>
      <c r="M64" s="154">
        <f t="shared" si="13"/>
        <v>17</v>
      </c>
      <c r="N64" s="154">
        <f t="shared" si="13"/>
        <v>17</v>
      </c>
      <c r="O64" s="154">
        <f t="shared" si="13"/>
        <v>20</v>
      </c>
      <c r="P64" s="154">
        <f t="shared" si="13"/>
        <v>22</v>
      </c>
      <c r="Q64" s="154">
        <f t="shared" si="13"/>
        <v>26</v>
      </c>
      <c r="R64" s="154">
        <f t="shared" si="13"/>
        <v>30</v>
      </c>
      <c r="S64" s="154">
        <f t="shared" si="13"/>
        <v>35</v>
      </c>
      <c r="T64" s="154">
        <f t="shared" si="13"/>
        <v>39</v>
      </c>
      <c r="U64" s="154">
        <f t="shared" si="13"/>
        <v>43</v>
      </c>
      <c r="V64" s="154">
        <f t="shared" si="13"/>
        <v>48</v>
      </c>
      <c r="W64" s="154">
        <f t="shared" si="13"/>
        <v>52</v>
      </c>
      <c r="X64" s="154">
        <f t="shared" si="13"/>
        <v>61</v>
      </c>
      <c r="Y64" s="154">
        <f t="shared" si="13"/>
        <v>78</v>
      </c>
      <c r="Z64" s="154">
        <f t="shared" si="13"/>
        <v>96</v>
      </c>
      <c r="AA64" s="155">
        <f t="shared" si="13"/>
        <v>112</v>
      </c>
      <c r="AH64" s="252">
        <v>40</v>
      </c>
      <c r="AI64" s="254">
        <f t="shared" si="6"/>
        <v>0</v>
      </c>
    </row>
    <row r="65" spans="1:35" ht="16.05" customHeight="1" x14ac:dyDescent="0.2">
      <c r="A65" s="126"/>
      <c r="B65" s="118">
        <v>120607</v>
      </c>
      <c r="C65" s="127" t="s">
        <v>215</v>
      </c>
      <c r="D65" s="122" t="s">
        <v>10</v>
      </c>
      <c r="E65" s="163">
        <f>IF(AND(E16="x",F22&lt;60,J22&lt;600,SUM(E61:E64)&lt;1),1,0)</f>
        <v>0</v>
      </c>
      <c r="F65" s="192">
        <v>108.9</v>
      </c>
      <c r="G65" s="191">
        <f t="shared" si="9"/>
        <v>0</v>
      </c>
      <c r="H65" s="288">
        <f t="shared" si="10"/>
        <v>0</v>
      </c>
      <c r="I65" s="187">
        <f>E65*600</f>
        <v>0</v>
      </c>
      <c r="J65" s="144">
        <v>30</v>
      </c>
      <c r="K65" s="212">
        <v>-20</v>
      </c>
      <c r="L65" s="215">
        <f t="shared" ref="L65:AA65" si="14">IF(L32&gt;=17,ROUNDUP($F$22*L32/17,0),$F$22)</f>
        <v>17</v>
      </c>
      <c r="M65" s="151">
        <f t="shared" si="14"/>
        <v>17</v>
      </c>
      <c r="N65" s="151">
        <f t="shared" si="14"/>
        <v>17</v>
      </c>
      <c r="O65" s="151">
        <f t="shared" si="14"/>
        <v>17</v>
      </c>
      <c r="P65" s="151">
        <f t="shared" si="14"/>
        <v>17</v>
      </c>
      <c r="Q65" s="151">
        <f t="shared" si="14"/>
        <v>17</v>
      </c>
      <c r="R65" s="151">
        <f t="shared" si="14"/>
        <v>17</v>
      </c>
      <c r="S65" s="151">
        <f t="shared" si="14"/>
        <v>17</v>
      </c>
      <c r="T65" s="151">
        <f t="shared" si="14"/>
        <v>18</v>
      </c>
      <c r="U65" s="151">
        <f t="shared" si="14"/>
        <v>20</v>
      </c>
      <c r="V65" s="151">
        <f t="shared" si="14"/>
        <v>22</v>
      </c>
      <c r="W65" s="151">
        <f t="shared" si="14"/>
        <v>23</v>
      </c>
      <c r="X65" s="151">
        <f t="shared" si="14"/>
        <v>27</v>
      </c>
      <c r="Y65" s="151">
        <f t="shared" si="14"/>
        <v>34</v>
      </c>
      <c r="Z65" s="151">
        <f t="shared" si="14"/>
        <v>41</v>
      </c>
      <c r="AA65" s="152">
        <f t="shared" si="14"/>
        <v>48</v>
      </c>
      <c r="AH65" s="252">
        <v>60</v>
      </c>
      <c r="AI65" s="254">
        <f t="shared" si="6"/>
        <v>0</v>
      </c>
    </row>
    <row r="66" spans="1:35" ht="16.05" customHeight="1" x14ac:dyDescent="0.2">
      <c r="A66" s="126"/>
      <c r="B66" s="118">
        <v>120807</v>
      </c>
      <c r="C66" s="127" t="s">
        <v>216</v>
      </c>
      <c r="D66" s="122" t="s">
        <v>10</v>
      </c>
      <c r="E66" s="163">
        <f>IF(AND(E16="x",F22&lt;80,J22&lt;800,SUM(E61:E65)&lt;1),1,0)</f>
        <v>0</v>
      </c>
      <c r="F66" s="192">
        <v>141.9</v>
      </c>
      <c r="G66" s="191">
        <f t="shared" si="9"/>
        <v>0</v>
      </c>
      <c r="H66" s="288">
        <f t="shared" si="10"/>
        <v>0</v>
      </c>
      <c r="I66" s="187">
        <f>E66*800</f>
        <v>0</v>
      </c>
      <c r="J66" s="145">
        <v>30</v>
      </c>
      <c r="K66" s="213">
        <v>-25</v>
      </c>
      <c r="L66" s="216">
        <f t="shared" ref="L66:AA66" si="15">IF(L33&gt;=17,ROUNDUP($F$22*L33/17,0),$F$22)</f>
        <v>17</v>
      </c>
      <c r="M66" s="150">
        <f t="shared" si="15"/>
        <v>17</v>
      </c>
      <c r="N66" s="150">
        <f t="shared" si="15"/>
        <v>17</v>
      </c>
      <c r="O66" s="150">
        <f t="shared" si="15"/>
        <v>17</v>
      </c>
      <c r="P66" s="150">
        <f t="shared" si="15"/>
        <v>17</v>
      </c>
      <c r="Q66" s="150">
        <f t="shared" si="15"/>
        <v>17</v>
      </c>
      <c r="R66" s="150">
        <f t="shared" si="15"/>
        <v>17</v>
      </c>
      <c r="S66" s="150">
        <f t="shared" si="15"/>
        <v>17</v>
      </c>
      <c r="T66" s="150">
        <f t="shared" si="15"/>
        <v>18</v>
      </c>
      <c r="U66" s="150">
        <f t="shared" si="15"/>
        <v>20</v>
      </c>
      <c r="V66" s="150">
        <f t="shared" si="15"/>
        <v>22</v>
      </c>
      <c r="W66" s="150">
        <f t="shared" si="15"/>
        <v>23</v>
      </c>
      <c r="X66" s="150">
        <f t="shared" si="15"/>
        <v>27</v>
      </c>
      <c r="Y66" s="150">
        <f t="shared" si="15"/>
        <v>34</v>
      </c>
      <c r="Z66" s="150">
        <f t="shared" si="15"/>
        <v>41</v>
      </c>
      <c r="AA66" s="153">
        <f t="shared" si="15"/>
        <v>48</v>
      </c>
      <c r="AH66" s="252">
        <v>80</v>
      </c>
      <c r="AI66" s="254">
        <f t="shared" si="6"/>
        <v>0</v>
      </c>
    </row>
    <row r="67" spans="1:35" ht="16.05" customHeight="1" thickBot="1" x14ac:dyDescent="0.25">
      <c r="A67" s="126"/>
      <c r="B67" s="118">
        <v>121007</v>
      </c>
      <c r="C67" s="127" t="s">
        <v>217</v>
      </c>
      <c r="D67" s="122" t="s">
        <v>10</v>
      </c>
      <c r="E67" s="163">
        <f>IF(AND(E16="x",F22&lt;100,J22&lt;1000,SUM(E61:E66)&lt;1),1,0)</f>
        <v>0</v>
      </c>
      <c r="F67" s="192">
        <v>172.7</v>
      </c>
      <c r="G67" s="191">
        <f t="shared" si="9"/>
        <v>0</v>
      </c>
      <c r="H67" s="288">
        <f t="shared" si="10"/>
        <v>0</v>
      </c>
      <c r="I67" s="187">
        <f>E67*1000</f>
        <v>0</v>
      </c>
      <c r="J67" s="146">
        <v>30</v>
      </c>
      <c r="K67" s="214">
        <v>-35</v>
      </c>
      <c r="L67" s="217">
        <f t="shared" ref="L67:AA67" si="16">IF(L34&gt;=17,ROUNDUP($F$22*L34/17,0),$F$22)</f>
        <v>17</v>
      </c>
      <c r="M67" s="154">
        <f t="shared" si="16"/>
        <v>17</v>
      </c>
      <c r="N67" s="154">
        <f t="shared" si="16"/>
        <v>17</v>
      </c>
      <c r="O67" s="154">
        <f t="shared" si="16"/>
        <v>17</v>
      </c>
      <c r="P67" s="154">
        <f t="shared" si="16"/>
        <v>17</v>
      </c>
      <c r="Q67" s="154">
        <f t="shared" si="16"/>
        <v>17</v>
      </c>
      <c r="R67" s="154">
        <f t="shared" si="16"/>
        <v>17</v>
      </c>
      <c r="S67" s="154">
        <f t="shared" si="16"/>
        <v>19</v>
      </c>
      <c r="T67" s="154">
        <f t="shared" si="16"/>
        <v>22</v>
      </c>
      <c r="U67" s="154">
        <f t="shared" si="16"/>
        <v>24</v>
      </c>
      <c r="V67" s="154">
        <f t="shared" si="16"/>
        <v>26</v>
      </c>
      <c r="W67" s="154">
        <f t="shared" si="16"/>
        <v>28</v>
      </c>
      <c r="X67" s="154">
        <f t="shared" si="16"/>
        <v>32</v>
      </c>
      <c r="Y67" s="154">
        <f t="shared" si="16"/>
        <v>40</v>
      </c>
      <c r="Z67" s="154">
        <f t="shared" si="16"/>
        <v>49</v>
      </c>
      <c r="AA67" s="155">
        <f t="shared" si="16"/>
        <v>58</v>
      </c>
      <c r="AH67" s="252">
        <v>100</v>
      </c>
      <c r="AI67" s="254">
        <f t="shared" si="6"/>
        <v>0</v>
      </c>
    </row>
    <row r="68" spans="1:35" ht="16.05" customHeight="1" x14ac:dyDescent="0.2">
      <c r="A68" s="126"/>
      <c r="B68" s="118">
        <v>121207</v>
      </c>
      <c r="C68" s="127" t="s">
        <v>218</v>
      </c>
      <c r="D68" s="122" t="s">
        <v>10</v>
      </c>
      <c r="E68" s="163">
        <f>IF(AND(E16="x",F22&lt;120,J22&lt;1200,SUM(E61:E67)&lt;1),1,0)</f>
        <v>0</v>
      </c>
      <c r="F68" s="192">
        <v>222.2</v>
      </c>
      <c r="G68" s="191">
        <f t="shared" si="9"/>
        <v>0</v>
      </c>
      <c r="H68" s="288">
        <f t="shared" si="10"/>
        <v>0</v>
      </c>
      <c r="I68" s="187">
        <f>E68*1200</f>
        <v>0</v>
      </c>
      <c r="J68" s="149">
        <v>50</v>
      </c>
      <c r="K68" s="218">
        <v>-20</v>
      </c>
      <c r="L68" s="219">
        <f t="shared" ref="L68:AA68" si="17">IF(L35&gt;=17,ROUNDUP($F$22*L35/17,0),$F$22)</f>
        <v>17</v>
      </c>
      <c r="M68" s="220">
        <f t="shared" si="17"/>
        <v>17</v>
      </c>
      <c r="N68" s="220">
        <f t="shared" si="17"/>
        <v>17</v>
      </c>
      <c r="O68" s="220">
        <f t="shared" si="17"/>
        <v>17</v>
      </c>
      <c r="P68" s="220">
        <f t="shared" si="17"/>
        <v>17</v>
      </c>
      <c r="Q68" s="220">
        <f t="shared" si="17"/>
        <v>17</v>
      </c>
      <c r="R68" s="220">
        <f t="shared" si="17"/>
        <v>17</v>
      </c>
      <c r="S68" s="220">
        <f t="shared" si="17"/>
        <v>17</v>
      </c>
      <c r="T68" s="220">
        <f t="shared" si="17"/>
        <v>17</v>
      </c>
      <c r="U68" s="220">
        <f t="shared" si="17"/>
        <v>17</v>
      </c>
      <c r="V68" s="220">
        <f t="shared" si="17"/>
        <v>17</v>
      </c>
      <c r="W68" s="220">
        <f t="shared" si="17"/>
        <v>17</v>
      </c>
      <c r="X68" s="220">
        <f t="shared" si="17"/>
        <v>18</v>
      </c>
      <c r="Y68" s="220">
        <f t="shared" si="17"/>
        <v>22</v>
      </c>
      <c r="Z68" s="220">
        <f t="shared" si="17"/>
        <v>27</v>
      </c>
      <c r="AA68" s="221">
        <f t="shared" si="17"/>
        <v>31</v>
      </c>
      <c r="AH68" s="252">
        <v>120</v>
      </c>
      <c r="AI68" s="254">
        <f t="shared" si="6"/>
        <v>0</v>
      </c>
    </row>
    <row r="69" spans="1:35" ht="20.100000000000001" customHeight="1" x14ac:dyDescent="0.2">
      <c r="A69" s="126"/>
      <c r="B69" s="118">
        <v>121507</v>
      </c>
      <c r="C69" s="127" t="s">
        <v>219</v>
      </c>
      <c r="D69" s="122" t="s">
        <v>10</v>
      </c>
      <c r="E69" s="163">
        <f>IF(AND(E16="x",F22&lt;150,J22&lt;1500,SUM(E61:E68)&lt;1),1,0)</f>
        <v>0</v>
      </c>
      <c r="F69" s="192">
        <v>264</v>
      </c>
      <c r="G69" s="191">
        <f t="shared" si="9"/>
        <v>0</v>
      </c>
      <c r="H69" s="288">
        <f t="shared" si="10"/>
        <v>0</v>
      </c>
      <c r="I69" s="187">
        <f>E69*1500</f>
        <v>0</v>
      </c>
      <c r="J69" s="145">
        <v>50</v>
      </c>
      <c r="K69" s="213">
        <v>-25</v>
      </c>
      <c r="L69" s="216">
        <f t="shared" ref="L69:AA69" si="18">IF(L36&gt;=17,ROUNDUP($F$22*L36/17,0),$F$22)</f>
        <v>17</v>
      </c>
      <c r="M69" s="150">
        <f t="shared" si="18"/>
        <v>17</v>
      </c>
      <c r="N69" s="150">
        <f t="shared" si="18"/>
        <v>17</v>
      </c>
      <c r="O69" s="150">
        <f t="shared" si="18"/>
        <v>17</v>
      </c>
      <c r="P69" s="150">
        <f t="shared" si="18"/>
        <v>17</v>
      </c>
      <c r="Q69" s="150">
        <f t="shared" si="18"/>
        <v>17</v>
      </c>
      <c r="R69" s="150">
        <f t="shared" si="18"/>
        <v>17</v>
      </c>
      <c r="S69" s="150">
        <f t="shared" si="18"/>
        <v>17</v>
      </c>
      <c r="T69" s="150">
        <f t="shared" si="18"/>
        <v>17</v>
      </c>
      <c r="U69" s="150">
        <f t="shared" si="18"/>
        <v>17</v>
      </c>
      <c r="V69" s="150">
        <f t="shared" si="18"/>
        <v>17</v>
      </c>
      <c r="W69" s="150">
        <f t="shared" si="18"/>
        <v>19</v>
      </c>
      <c r="X69" s="150">
        <f t="shared" si="18"/>
        <v>21</v>
      </c>
      <c r="Y69" s="150">
        <f t="shared" si="18"/>
        <v>26</v>
      </c>
      <c r="Z69" s="150">
        <f t="shared" si="18"/>
        <v>31</v>
      </c>
      <c r="AA69" s="153">
        <f t="shared" si="18"/>
        <v>36</v>
      </c>
      <c r="AH69" s="252">
        <v>150</v>
      </c>
      <c r="AI69" s="254">
        <f t="shared" si="6"/>
        <v>0</v>
      </c>
    </row>
    <row r="70" spans="1:35" ht="20.399999999999999" thickBot="1" x14ac:dyDescent="0.25">
      <c r="A70" s="136"/>
      <c r="B70" s="235">
        <v>121907</v>
      </c>
      <c r="C70" s="236" t="s">
        <v>220</v>
      </c>
      <c r="D70" s="139" t="s">
        <v>10</v>
      </c>
      <c r="E70" s="237">
        <f>IF(AND(E16="x",F22&lt;190,J22&lt;1900,SUM(E61:E69)&lt;1),1,0)</f>
        <v>0</v>
      </c>
      <c r="F70" s="193">
        <v>322.3</v>
      </c>
      <c r="G70" s="194">
        <f t="shared" si="9"/>
        <v>0</v>
      </c>
      <c r="H70" s="288">
        <f t="shared" si="10"/>
        <v>0</v>
      </c>
      <c r="I70" s="187">
        <f>E70*1900</f>
        <v>0</v>
      </c>
      <c r="J70" s="146">
        <v>50</v>
      </c>
      <c r="K70" s="214">
        <v>-35</v>
      </c>
      <c r="L70" s="217">
        <f t="shared" ref="L70:AA70" si="19">IF(L37&gt;=17,ROUNDUP($F$22*L37/17,0),$F$22)</f>
        <v>17</v>
      </c>
      <c r="M70" s="154">
        <f t="shared" si="19"/>
        <v>17</v>
      </c>
      <c r="N70" s="154">
        <f t="shared" si="19"/>
        <v>17</v>
      </c>
      <c r="O70" s="154">
        <f t="shared" si="19"/>
        <v>17</v>
      </c>
      <c r="P70" s="154">
        <f t="shared" si="19"/>
        <v>17</v>
      </c>
      <c r="Q70" s="154">
        <f t="shared" si="19"/>
        <v>17</v>
      </c>
      <c r="R70" s="154">
        <f t="shared" si="19"/>
        <v>17</v>
      </c>
      <c r="S70" s="154">
        <f t="shared" si="19"/>
        <v>18</v>
      </c>
      <c r="T70" s="154">
        <f t="shared" si="19"/>
        <v>20</v>
      </c>
      <c r="U70" s="154">
        <f t="shared" si="19"/>
        <v>21</v>
      </c>
      <c r="V70" s="154">
        <f t="shared" si="19"/>
        <v>23</v>
      </c>
      <c r="W70" s="154">
        <f t="shared" si="19"/>
        <v>25</v>
      </c>
      <c r="X70" s="154">
        <f t="shared" si="19"/>
        <v>28</v>
      </c>
      <c r="Y70" s="154">
        <f t="shared" si="19"/>
        <v>35</v>
      </c>
      <c r="Z70" s="154">
        <f t="shared" si="19"/>
        <v>42</v>
      </c>
      <c r="AA70" s="155">
        <f t="shared" si="19"/>
        <v>49</v>
      </c>
      <c r="AH70" s="253">
        <v>190</v>
      </c>
      <c r="AI70" s="254">
        <f t="shared" si="6"/>
        <v>0</v>
      </c>
    </row>
    <row r="71" spans="1:35" ht="20.100000000000001" customHeight="1" thickBot="1" x14ac:dyDescent="0.25">
      <c r="A71" s="889" t="s">
        <v>82</v>
      </c>
      <c r="B71" s="890"/>
      <c r="C71" s="890"/>
      <c r="D71" s="890"/>
      <c r="E71" s="888"/>
      <c r="F71" s="888"/>
      <c r="G71" s="241"/>
      <c r="H71" s="245">
        <f>SUM(H72:H76)</f>
        <v>4</v>
      </c>
      <c r="I71" s="186">
        <f>SUM(I29:I70)</f>
        <v>300</v>
      </c>
      <c r="J71" s="61"/>
      <c r="K71" s="61"/>
      <c r="L71" s="61"/>
      <c r="M71" s="61"/>
      <c r="N71" s="61"/>
      <c r="O71" s="61"/>
      <c r="P71" s="61"/>
      <c r="Q71" s="61"/>
      <c r="R71" s="61"/>
      <c r="S71" s="61"/>
      <c r="T71" s="61"/>
      <c r="U71" s="61"/>
      <c r="V71" s="61"/>
      <c r="W71" s="61"/>
      <c r="X71" s="61"/>
      <c r="Y71" s="61"/>
      <c r="Z71" s="61"/>
      <c r="AA71" s="61"/>
      <c r="AH71" s="5" t="s">
        <v>270</v>
      </c>
      <c r="AI71" s="5">
        <f>SUM(AI29:AI70)</f>
        <v>17.600000000000001</v>
      </c>
    </row>
    <row r="72" spans="1:35" x14ac:dyDescent="0.2">
      <c r="A72" s="167"/>
      <c r="B72" s="238">
        <v>160100</v>
      </c>
      <c r="C72" s="239" t="s">
        <v>79</v>
      </c>
      <c r="D72" s="168" t="s">
        <v>10</v>
      </c>
      <c r="E72" s="369">
        <f>IF(OR(E14="x", E15="x"),1,0)</f>
        <v>0</v>
      </c>
      <c r="F72" s="240">
        <v>12</v>
      </c>
      <c r="G72" s="189">
        <f>E72*F72</f>
        <v>0</v>
      </c>
      <c r="H72" s="288">
        <f t="shared" si="10"/>
        <v>0</v>
      </c>
      <c r="I72" s="195"/>
      <c r="J72" s="61"/>
      <c r="K72" s="61"/>
      <c r="L72" s="61"/>
      <c r="M72" s="61"/>
      <c r="N72" s="61"/>
      <c r="O72" s="61"/>
      <c r="P72" s="61"/>
      <c r="Q72" s="61"/>
      <c r="R72" s="61"/>
      <c r="S72" s="61"/>
      <c r="T72" s="61"/>
      <c r="U72" s="63"/>
      <c r="V72" s="63"/>
      <c r="W72" s="63"/>
      <c r="X72" s="63"/>
      <c r="Y72" s="63"/>
      <c r="Z72" s="63"/>
      <c r="AA72" s="63"/>
      <c r="AH72" s="5" t="s">
        <v>271</v>
      </c>
      <c r="AI72" s="5">
        <f>AI71*2</f>
        <v>35.200000000000003</v>
      </c>
    </row>
    <row r="73" spans="1:35" ht="18" thickBot="1" x14ac:dyDescent="0.25">
      <c r="A73" s="126"/>
      <c r="B73" s="131">
        <v>891551</v>
      </c>
      <c r="C73" s="132" t="s">
        <v>144</v>
      </c>
      <c r="D73" s="122" t="s">
        <v>10</v>
      </c>
      <c r="E73" s="196">
        <f>IF(ISNUMBER(F22), 1, 0)</f>
        <v>1</v>
      </c>
      <c r="F73" s="192">
        <v>87</v>
      </c>
      <c r="G73" s="191">
        <f>E73*F73</f>
        <v>87</v>
      </c>
      <c r="H73" s="288">
        <f t="shared" si="10"/>
        <v>1</v>
      </c>
      <c r="I73" s="195"/>
      <c r="J73" s="61"/>
      <c r="K73" s="827" t="s">
        <v>256</v>
      </c>
      <c r="L73" s="828"/>
      <c r="M73" s="828"/>
      <c r="N73" s="828"/>
      <c r="O73" s="828"/>
      <c r="P73" s="828"/>
      <c r="Q73" s="828"/>
      <c r="R73" s="828"/>
      <c r="S73" s="828"/>
      <c r="T73" s="828"/>
      <c r="U73" s="828"/>
      <c r="V73" s="828"/>
      <c r="W73" s="828"/>
      <c r="X73" s="828"/>
      <c r="Y73" s="828"/>
      <c r="Z73" s="828"/>
      <c r="AA73" s="828"/>
    </row>
    <row r="74" spans="1:35" ht="22.8" x14ac:dyDescent="0.2">
      <c r="A74" s="126"/>
      <c r="B74" s="130">
        <v>892551</v>
      </c>
      <c r="C74" s="133" t="s">
        <v>193</v>
      </c>
      <c r="D74" s="134" t="s">
        <v>10</v>
      </c>
      <c r="E74" s="196">
        <f>IF(ISNUMBER(F22), 1, 0)</f>
        <v>1</v>
      </c>
      <c r="F74" s="192">
        <v>101</v>
      </c>
      <c r="G74" s="191">
        <f>E74*F74</f>
        <v>101</v>
      </c>
      <c r="H74" s="288">
        <f t="shared" si="10"/>
        <v>1</v>
      </c>
      <c r="I74" s="195"/>
      <c r="J74" s="61"/>
      <c r="K74" s="829" t="s">
        <v>166</v>
      </c>
      <c r="L74" s="830"/>
      <c r="M74" s="830"/>
      <c r="N74" s="830"/>
      <c r="O74" s="830"/>
      <c r="P74" s="830"/>
      <c r="Q74" s="830"/>
      <c r="R74" s="830"/>
      <c r="S74" s="830"/>
      <c r="T74" s="830"/>
      <c r="U74" s="830"/>
      <c r="V74" s="830"/>
      <c r="W74" s="830"/>
      <c r="X74" s="830"/>
      <c r="Y74" s="830"/>
      <c r="Z74" s="830"/>
      <c r="AA74" s="831"/>
    </row>
    <row r="75" spans="1:35" ht="16.2" x14ac:dyDescent="0.2">
      <c r="A75" s="126"/>
      <c r="B75" s="135">
        <v>891650</v>
      </c>
      <c r="C75" s="132" t="s">
        <v>236</v>
      </c>
      <c r="D75" s="122" t="s">
        <v>10</v>
      </c>
      <c r="E75" s="197"/>
      <c r="F75" s="192">
        <v>40</v>
      </c>
      <c r="G75" s="191">
        <f>E75*F75</f>
        <v>0</v>
      </c>
      <c r="H75" s="288">
        <f t="shared" si="10"/>
        <v>0</v>
      </c>
      <c r="I75" s="195"/>
      <c r="J75" s="61"/>
      <c r="K75" s="231" t="s">
        <v>231</v>
      </c>
      <c r="L75" s="222" t="s">
        <v>224</v>
      </c>
      <c r="M75" s="222" t="s">
        <v>225</v>
      </c>
      <c r="N75" s="222">
        <v>1</v>
      </c>
      <c r="O75" s="222" t="s">
        <v>226</v>
      </c>
      <c r="P75" s="222" t="s">
        <v>227</v>
      </c>
      <c r="Q75" s="222">
        <v>2</v>
      </c>
      <c r="R75" s="222" t="s">
        <v>228</v>
      </c>
      <c r="S75" s="222">
        <v>3</v>
      </c>
      <c r="T75" s="222" t="s">
        <v>229</v>
      </c>
      <c r="U75" s="222">
        <v>4</v>
      </c>
      <c r="V75" s="222" t="s">
        <v>230</v>
      </c>
      <c r="W75" s="222">
        <v>5</v>
      </c>
      <c r="X75" s="222">
        <v>6</v>
      </c>
      <c r="Y75" s="222">
        <v>8</v>
      </c>
      <c r="Z75" s="222">
        <v>10</v>
      </c>
      <c r="AA75" s="232">
        <v>12</v>
      </c>
    </row>
    <row r="76" spans="1:35" ht="16.8" thickBot="1" x14ac:dyDescent="0.25">
      <c r="A76" s="136"/>
      <c r="B76" s="137">
        <v>720200</v>
      </c>
      <c r="C76" s="138" t="s">
        <v>66</v>
      </c>
      <c r="D76" s="139" t="s">
        <v>67</v>
      </c>
      <c r="E76" s="198">
        <f>IF(E11="x",(ROUNDUP(((ROUNDUP((F22+1)*(PI()*(G22/1000)),0))+AI72)/22.5,0)),(ROUNDUP(((ROUNDUP((F22+1)*(PI()*(G22/1000)),0))+AI71)/22.5,0)))</f>
        <v>2</v>
      </c>
      <c r="F76" s="192">
        <v>5</v>
      </c>
      <c r="G76" s="191">
        <f>E76*F76</f>
        <v>10</v>
      </c>
      <c r="H76" s="288">
        <f t="shared" si="10"/>
        <v>2</v>
      </c>
      <c r="I76" s="195"/>
      <c r="J76" s="61"/>
      <c r="K76" s="233" t="s">
        <v>197</v>
      </c>
      <c r="L76" s="223">
        <v>21</v>
      </c>
      <c r="M76" s="223">
        <v>27</v>
      </c>
      <c r="N76" s="223">
        <v>34</v>
      </c>
      <c r="O76" s="223">
        <v>42</v>
      </c>
      <c r="P76" s="223">
        <v>48</v>
      </c>
      <c r="Q76" s="223">
        <v>60</v>
      </c>
      <c r="R76" s="223">
        <v>73</v>
      </c>
      <c r="S76" s="223">
        <v>89</v>
      </c>
      <c r="T76" s="223">
        <v>102</v>
      </c>
      <c r="U76" s="223">
        <v>114</v>
      </c>
      <c r="V76" s="223">
        <v>127</v>
      </c>
      <c r="W76" s="223">
        <v>141</v>
      </c>
      <c r="X76" s="223">
        <v>168</v>
      </c>
      <c r="Y76" s="223">
        <v>219</v>
      </c>
      <c r="Z76" s="223">
        <v>273</v>
      </c>
      <c r="AA76" s="224">
        <v>324</v>
      </c>
    </row>
    <row r="77" spans="1:35" ht="16.8" thickBot="1" x14ac:dyDescent="0.25">
      <c r="A77" s="835" t="s">
        <v>18</v>
      </c>
      <c r="B77" s="836"/>
      <c r="C77" s="836"/>
      <c r="D77" s="836"/>
      <c r="E77" s="836"/>
      <c r="F77" s="836"/>
      <c r="G77" s="140">
        <f>SUM(G29:G76)</f>
        <v>240</v>
      </c>
      <c r="J77" s="61"/>
      <c r="K77" s="234" t="s">
        <v>196</v>
      </c>
      <c r="L77" s="227">
        <v>15</v>
      </c>
      <c r="M77" s="227">
        <v>20</v>
      </c>
      <c r="N77" s="227">
        <v>25</v>
      </c>
      <c r="O77" s="227">
        <v>32</v>
      </c>
      <c r="P77" s="227">
        <v>40</v>
      </c>
      <c r="Q77" s="227">
        <v>50</v>
      </c>
      <c r="R77" s="227">
        <v>65</v>
      </c>
      <c r="S77" s="227">
        <v>80</v>
      </c>
      <c r="T77" s="227">
        <v>90</v>
      </c>
      <c r="U77" s="227">
        <v>100</v>
      </c>
      <c r="V77" s="227">
        <v>115</v>
      </c>
      <c r="W77" s="227">
        <v>125</v>
      </c>
      <c r="X77" s="227">
        <v>150</v>
      </c>
      <c r="Y77" s="227">
        <v>200</v>
      </c>
      <c r="Z77" s="227">
        <v>250</v>
      </c>
      <c r="AA77" s="228">
        <v>300</v>
      </c>
    </row>
    <row r="78" spans="1:35" ht="15" thickBot="1" x14ac:dyDescent="0.25">
      <c r="A78" s="141">
        <v>0</v>
      </c>
      <c r="B78" s="837" t="s">
        <v>70</v>
      </c>
      <c r="C78" s="838"/>
      <c r="D78" s="838"/>
      <c r="E78" s="838"/>
      <c r="F78" s="838"/>
      <c r="G78" s="142">
        <f>G77*(1-A78)</f>
        <v>240</v>
      </c>
      <c r="J78" s="61"/>
      <c r="K78" s="229" t="s">
        <v>223</v>
      </c>
      <c r="L78" s="839" t="s">
        <v>257</v>
      </c>
      <c r="M78" s="840"/>
      <c r="N78" s="840"/>
      <c r="O78" s="840"/>
      <c r="P78" s="840"/>
      <c r="Q78" s="840"/>
      <c r="R78" s="840"/>
      <c r="S78" s="840"/>
      <c r="T78" s="840"/>
      <c r="U78" s="840"/>
      <c r="V78" s="840"/>
      <c r="W78" s="840"/>
      <c r="X78" s="840"/>
      <c r="Y78" s="840"/>
      <c r="Z78" s="840"/>
      <c r="AA78" s="841"/>
    </row>
    <row r="79" spans="1:35" ht="20.399999999999999" thickBot="1" x14ac:dyDescent="0.25">
      <c r="A79" s="825" t="s">
        <v>19</v>
      </c>
      <c r="B79" s="826"/>
      <c r="C79" s="826"/>
      <c r="D79" s="826"/>
      <c r="E79" s="826"/>
      <c r="F79" s="826"/>
      <c r="G79" s="143">
        <f>G78*1.19</f>
        <v>285.59999999999997</v>
      </c>
      <c r="J79" s="144">
        <v>20</v>
      </c>
      <c r="K79" s="218">
        <v>-20</v>
      </c>
      <c r="L79" s="219">
        <f>IF(L29&gt;=20,ROUNDUP($F$22*L29/20,0),$F$22)</f>
        <v>17</v>
      </c>
      <c r="M79" s="220">
        <f t="shared" ref="M79:AA79" si="20">IF(M29&gt;=20,ROUNDUP($F$22*M29/20,0),$F$22)</f>
        <v>17</v>
      </c>
      <c r="N79" s="220">
        <f t="shared" si="20"/>
        <v>17</v>
      </c>
      <c r="O79" s="220">
        <f t="shared" si="20"/>
        <v>17</v>
      </c>
      <c r="P79" s="220">
        <f t="shared" si="20"/>
        <v>17</v>
      </c>
      <c r="Q79" s="220">
        <f t="shared" si="20"/>
        <v>17</v>
      </c>
      <c r="R79" s="220">
        <f t="shared" si="20"/>
        <v>17</v>
      </c>
      <c r="S79" s="220">
        <f t="shared" si="20"/>
        <v>19</v>
      </c>
      <c r="T79" s="220">
        <f t="shared" si="20"/>
        <v>21</v>
      </c>
      <c r="U79" s="220">
        <f t="shared" si="20"/>
        <v>24</v>
      </c>
      <c r="V79" s="220">
        <f t="shared" si="20"/>
        <v>26</v>
      </c>
      <c r="W79" s="220">
        <f t="shared" si="20"/>
        <v>29</v>
      </c>
      <c r="X79" s="220">
        <f t="shared" si="20"/>
        <v>33</v>
      </c>
      <c r="Y79" s="220">
        <f t="shared" si="20"/>
        <v>42</v>
      </c>
      <c r="Z79" s="220">
        <f t="shared" si="20"/>
        <v>51</v>
      </c>
      <c r="AA79" s="221">
        <f t="shared" si="20"/>
        <v>60</v>
      </c>
    </row>
    <row r="80" spans="1:35" ht="19.8" x14ac:dyDescent="0.2">
      <c r="J80" s="145">
        <v>20</v>
      </c>
      <c r="K80" s="213">
        <v>-25</v>
      </c>
      <c r="L80" s="216">
        <f t="shared" ref="L80:AA80" si="21">IF(L30&gt;=20,ROUNDUP($F$22*L30/20,0),$F$22)</f>
        <v>17</v>
      </c>
      <c r="M80" s="150">
        <f t="shared" si="21"/>
        <v>17</v>
      </c>
      <c r="N80" s="150">
        <f t="shared" si="21"/>
        <v>17</v>
      </c>
      <c r="O80" s="150">
        <f t="shared" si="21"/>
        <v>17</v>
      </c>
      <c r="P80" s="150">
        <f t="shared" si="21"/>
        <v>17</v>
      </c>
      <c r="Q80" s="150">
        <f t="shared" si="21"/>
        <v>17</v>
      </c>
      <c r="R80" s="150">
        <f t="shared" si="21"/>
        <v>20</v>
      </c>
      <c r="S80" s="150">
        <f t="shared" si="21"/>
        <v>23</v>
      </c>
      <c r="T80" s="150">
        <f t="shared" si="21"/>
        <v>26</v>
      </c>
      <c r="U80" s="150">
        <f t="shared" si="21"/>
        <v>29</v>
      </c>
      <c r="V80" s="150">
        <f t="shared" si="21"/>
        <v>31</v>
      </c>
      <c r="W80" s="150">
        <f t="shared" si="21"/>
        <v>34</v>
      </c>
      <c r="X80" s="150">
        <f t="shared" si="21"/>
        <v>40</v>
      </c>
      <c r="Y80" s="150">
        <f t="shared" si="21"/>
        <v>50</v>
      </c>
      <c r="Z80" s="150">
        <f t="shared" si="21"/>
        <v>62</v>
      </c>
      <c r="AA80" s="153">
        <f t="shared" si="21"/>
        <v>72</v>
      </c>
    </row>
    <row r="81" spans="1:27" ht="20.399999999999999" thickBot="1" x14ac:dyDescent="0.25">
      <c r="A81" s="732" t="s">
        <v>20</v>
      </c>
      <c r="B81" s="763"/>
      <c r="C81" s="763"/>
      <c r="D81" s="763"/>
      <c r="E81" s="763"/>
      <c r="F81" s="763"/>
      <c r="G81" s="763"/>
      <c r="J81" s="146">
        <v>20</v>
      </c>
      <c r="K81" s="214">
        <v>-35</v>
      </c>
      <c r="L81" s="217">
        <f t="shared" ref="L81:AA81" si="22">IF(L31&gt;=20,ROUNDUP($F$22*L31/20,0),$F$22)</f>
        <v>17</v>
      </c>
      <c r="M81" s="154">
        <f t="shared" si="22"/>
        <v>17</v>
      </c>
      <c r="N81" s="154">
        <f t="shared" si="22"/>
        <v>17</v>
      </c>
      <c r="O81" s="154">
        <f t="shared" si="22"/>
        <v>17</v>
      </c>
      <c r="P81" s="154">
        <f t="shared" si="22"/>
        <v>19</v>
      </c>
      <c r="Q81" s="154">
        <f t="shared" si="22"/>
        <v>22</v>
      </c>
      <c r="R81" s="154">
        <f t="shared" si="22"/>
        <v>26</v>
      </c>
      <c r="S81" s="154">
        <f t="shared" si="22"/>
        <v>30</v>
      </c>
      <c r="T81" s="154">
        <f t="shared" si="22"/>
        <v>34</v>
      </c>
      <c r="U81" s="154">
        <f t="shared" si="22"/>
        <v>37</v>
      </c>
      <c r="V81" s="154">
        <f t="shared" si="22"/>
        <v>41</v>
      </c>
      <c r="W81" s="154">
        <f t="shared" si="22"/>
        <v>45</v>
      </c>
      <c r="X81" s="154">
        <f t="shared" si="22"/>
        <v>52</v>
      </c>
      <c r="Y81" s="154">
        <f t="shared" si="22"/>
        <v>67</v>
      </c>
      <c r="Z81" s="154">
        <f t="shared" si="22"/>
        <v>82</v>
      </c>
      <c r="AA81" s="155">
        <f t="shared" si="22"/>
        <v>96</v>
      </c>
    </row>
    <row r="82" spans="1:27" ht="19.8" x14ac:dyDescent="0.3">
      <c r="A82" s="733" t="s">
        <v>141</v>
      </c>
      <c r="B82" s="748"/>
      <c r="C82" s="748"/>
      <c r="D82" s="748"/>
      <c r="E82" s="748"/>
      <c r="F82" s="748"/>
      <c r="G82" s="748"/>
      <c r="J82" s="144">
        <v>30</v>
      </c>
      <c r="K82" s="212">
        <v>-20</v>
      </c>
      <c r="L82" s="215">
        <f t="shared" ref="L82:AA82" si="23">IF(L32&gt;=20,ROUNDUP($F$22*L32/20,0),$F$22)</f>
        <v>17</v>
      </c>
      <c r="M82" s="151">
        <f t="shared" si="23"/>
        <v>17</v>
      </c>
      <c r="N82" s="151">
        <f t="shared" si="23"/>
        <v>17</v>
      </c>
      <c r="O82" s="151">
        <f t="shared" si="23"/>
        <v>17</v>
      </c>
      <c r="P82" s="151">
        <f t="shared" si="23"/>
        <v>17</v>
      </c>
      <c r="Q82" s="151">
        <f t="shared" si="23"/>
        <v>17</v>
      </c>
      <c r="R82" s="151">
        <f t="shared" si="23"/>
        <v>17</v>
      </c>
      <c r="S82" s="151">
        <f t="shared" si="23"/>
        <v>17</v>
      </c>
      <c r="T82" s="151">
        <f t="shared" si="23"/>
        <v>17</v>
      </c>
      <c r="U82" s="151">
        <f t="shared" si="23"/>
        <v>17</v>
      </c>
      <c r="V82" s="151">
        <f t="shared" si="23"/>
        <v>18</v>
      </c>
      <c r="W82" s="151">
        <f t="shared" si="23"/>
        <v>20</v>
      </c>
      <c r="X82" s="151">
        <f t="shared" si="23"/>
        <v>23</v>
      </c>
      <c r="Y82" s="151">
        <f t="shared" si="23"/>
        <v>29</v>
      </c>
      <c r="Z82" s="151">
        <f t="shared" si="23"/>
        <v>35</v>
      </c>
      <c r="AA82" s="152">
        <f t="shared" si="23"/>
        <v>41</v>
      </c>
    </row>
    <row r="83" spans="1:27" ht="19.8" x14ac:dyDescent="0.3">
      <c r="A83" s="733" t="s">
        <v>165</v>
      </c>
      <c r="B83" s="748"/>
      <c r="C83" s="748"/>
      <c r="D83" s="255">
        <f>I71/1000</f>
        <v>0.3</v>
      </c>
      <c r="E83" s="67"/>
      <c r="F83" s="67"/>
      <c r="G83" s="67"/>
      <c r="J83" s="145">
        <v>30</v>
      </c>
      <c r="K83" s="213">
        <v>-25</v>
      </c>
      <c r="L83" s="216">
        <f t="shared" ref="L83:AA83" si="24">IF(L33&gt;=20,ROUNDUP($F$22*L33/20,0),$F$22)</f>
        <v>17</v>
      </c>
      <c r="M83" s="150">
        <f t="shared" si="24"/>
        <v>17</v>
      </c>
      <c r="N83" s="150">
        <f t="shared" si="24"/>
        <v>17</v>
      </c>
      <c r="O83" s="150">
        <f t="shared" si="24"/>
        <v>17</v>
      </c>
      <c r="P83" s="150">
        <f t="shared" si="24"/>
        <v>17</v>
      </c>
      <c r="Q83" s="150">
        <f t="shared" si="24"/>
        <v>17</v>
      </c>
      <c r="R83" s="150">
        <f t="shared" si="24"/>
        <v>17</v>
      </c>
      <c r="S83" s="150">
        <f t="shared" si="24"/>
        <v>17</v>
      </c>
      <c r="T83" s="150">
        <f t="shared" si="24"/>
        <v>17</v>
      </c>
      <c r="U83" s="150">
        <f t="shared" si="24"/>
        <v>17</v>
      </c>
      <c r="V83" s="150">
        <f t="shared" si="24"/>
        <v>18</v>
      </c>
      <c r="W83" s="150">
        <f t="shared" si="24"/>
        <v>20</v>
      </c>
      <c r="X83" s="150">
        <f t="shared" si="24"/>
        <v>23</v>
      </c>
      <c r="Y83" s="150">
        <f t="shared" si="24"/>
        <v>29</v>
      </c>
      <c r="Z83" s="150">
        <f t="shared" si="24"/>
        <v>35</v>
      </c>
      <c r="AA83" s="153">
        <f t="shared" si="24"/>
        <v>41</v>
      </c>
    </row>
    <row r="84" spans="1:27" ht="20.399999999999999" thickBot="1" x14ac:dyDescent="0.25">
      <c r="D84" s="5" t="s">
        <v>102</v>
      </c>
      <c r="J84" s="146">
        <v>30</v>
      </c>
      <c r="K84" s="214">
        <v>-35</v>
      </c>
      <c r="L84" s="217">
        <f t="shared" ref="L84:AA84" si="25">IF(L34&gt;=20,ROUNDUP($F$22*L34/20,0),$F$22)</f>
        <v>17</v>
      </c>
      <c r="M84" s="154">
        <f t="shared" si="25"/>
        <v>17</v>
      </c>
      <c r="N84" s="154">
        <f t="shared" si="25"/>
        <v>17</v>
      </c>
      <c r="O84" s="154">
        <f t="shared" si="25"/>
        <v>17</v>
      </c>
      <c r="P84" s="154">
        <f t="shared" si="25"/>
        <v>17</v>
      </c>
      <c r="Q84" s="154">
        <f t="shared" si="25"/>
        <v>17</v>
      </c>
      <c r="R84" s="154">
        <f t="shared" si="25"/>
        <v>17</v>
      </c>
      <c r="S84" s="154">
        <f t="shared" si="25"/>
        <v>17</v>
      </c>
      <c r="T84" s="154">
        <f t="shared" si="25"/>
        <v>19</v>
      </c>
      <c r="U84" s="154">
        <f t="shared" si="25"/>
        <v>20</v>
      </c>
      <c r="V84" s="154">
        <f t="shared" si="25"/>
        <v>22</v>
      </c>
      <c r="W84" s="154">
        <f t="shared" si="25"/>
        <v>24</v>
      </c>
      <c r="X84" s="154">
        <f t="shared" si="25"/>
        <v>28</v>
      </c>
      <c r="Y84" s="154">
        <f t="shared" si="25"/>
        <v>34</v>
      </c>
      <c r="Z84" s="154">
        <f t="shared" si="25"/>
        <v>42</v>
      </c>
      <c r="AA84" s="155">
        <f t="shared" si="25"/>
        <v>50</v>
      </c>
    </row>
    <row r="85" spans="1:27" ht="19.8" x14ac:dyDescent="0.2">
      <c r="A85" s="739" t="s">
        <v>21</v>
      </c>
      <c r="B85" s="750"/>
      <c r="C85" s="750"/>
      <c r="D85" s="750"/>
      <c r="E85" s="750"/>
      <c r="F85" s="750"/>
      <c r="G85" s="750"/>
      <c r="J85" s="149">
        <v>50</v>
      </c>
      <c r="K85" s="218">
        <v>-20</v>
      </c>
      <c r="L85" s="219">
        <f t="shared" ref="L85:AA85" si="26">IF(L35&gt;=20,ROUNDUP($F$22*L35/20,0),$F$22)</f>
        <v>17</v>
      </c>
      <c r="M85" s="220">
        <f t="shared" si="26"/>
        <v>17</v>
      </c>
      <c r="N85" s="220">
        <f t="shared" si="26"/>
        <v>17</v>
      </c>
      <c r="O85" s="220">
        <f t="shared" si="26"/>
        <v>17</v>
      </c>
      <c r="P85" s="220">
        <f t="shared" si="26"/>
        <v>17</v>
      </c>
      <c r="Q85" s="220">
        <f t="shared" si="26"/>
        <v>17</v>
      </c>
      <c r="R85" s="220">
        <f t="shared" si="26"/>
        <v>17</v>
      </c>
      <c r="S85" s="220">
        <f t="shared" si="26"/>
        <v>17</v>
      </c>
      <c r="T85" s="220">
        <f t="shared" si="26"/>
        <v>17</v>
      </c>
      <c r="U85" s="220">
        <f t="shared" si="26"/>
        <v>17</v>
      </c>
      <c r="V85" s="220">
        <f t="shared" si="26"/>
        <v>17</v>
      </c>
      <c r="W85" s="220">
        <f t="shared" si="26"/>
        <v>17</v>
      </c>
      <c r="X85" s="220">
        <f t="shared" si="26"/>
        <v>17</v>
      </c>
      <c r="Y85" s="220">
        <f t="shared" si="26"/>
        <v>19</v>
      </c>
      <c r="Z85" s="220">
        <f t="shared" si="26"/>
        <v>23</v>
      </c>
      <c r="AA85" s="221">
        <f t="shared" si="26"/>
        <v>26</v>
      </c>
    </row>
    <row r="86" spans="1:27" ht="19.8" x14ac:dyDescent="0.2">
      <c r="A86" s="732" t="s">
        <v>142</v>
      </c>
      <c r="B86" s="763"/>
      <c r="C86" s="763"/>
      <c r="D86" s="763"/>
      <c r="E86" s="763"/>
      <c r="F86" s="763"/>
      <c r="G86" s="763"/>
      <c r="J86" s="145">
        <v>50</v>
      </c>
      <c r="K86" s="213">
        <v>-25</v>
      </c>
      <c r="L86" s="216">
        <f t="shared" ref="L86:AA86" si="27">IF(L36&gt;=20,ROUNDUP($F$22*L36/20,0),$F$22)</f>
        <v>17</v>
      </c>
      <c r="M86" s="150">
        <f t="shared" si="27"/>
        <v>17</v>
      </c>
      <c r="N86" s="150">
        <f t="shared" si="27"/>
        <v>17</v>
      </c>
      <c r="O86" s="150">
        <f t="shared" si="27"/>
        <v>17</v>
      </c>
      <c r="P86" s="150">
        <f t="shared" si="27"/>
        <v>17</v>
      </c>
      <c r="Q86" s="150">
        <f t="shared" si="27"/>
        <v>17</v>
      </c>
      <c r="R86" s="150">
        <f t="shared" si="27"/>
        <v>17</v>
      </c>
      <c r="S86" s="150">
        <f t="shared" si="27"/>
        <v>17</v>
      </c>
      <c r="T86" s="150">
        <f t="shared" si="27"/>
        <v>17</v>
      </c>
      <c r="U86" s="150">
        <f t="shared" si="27"/>
        <v>17</v>
      </c>
      <c r="V86" s="150">
        <f t="shared" si="27"/>
        <v>17</v>
      </c>
      <c r="W86" s="150">
        <f t="shared" si="27"/>
        <v>17</v>
      </c>
      <c r="X86" s="150">
        <f t="shared" si="27"/>
        <v>18</v>
      </c>
      <c r="Y86" s="150">
        <f t="shared" si="27"/>
        <v>23</v>
      </c>
      <c r="Z86" s="150">
        <f t="shared" si="27"/>
        <v>27</v>
      </c>
      <c r="AA86" s="153">
        <f t="shared" si="27"/>
        <v>31</v>
      </c>
    </row>
    <row r="87" spans="1:27" ht="20.399999999999999" thickBot="1" x14ac:dyDescent="0.35">
      <c r="A87" s="732" t="s">
        <v>22</v>
      </c>
      <c r="B87" s="740"/>
      <c r="C87" s="740"/>
      <c r="D87" s="740"/>
      <c r="E87" s="740"/>
      <c r="F87" s="740"/>
      <c r="G87" s="740"/>
      <c r="J87" s="146">
        <v>50</v>
      </c>
      <c r="K87" s="214">
        <v>-35</v>
      </c>
      <c r="L87" s="217">
        <f t="shared" ref="L87:AA87" si="28">IF(L37&gt;=20,ROUNDUP($F$22*L37/20,0),$F$22)</f>
        <v>17</v>
      </c>
      <c r="M87" s="154">
        <f t="shared" si="28"/>
        <v>17</v>
      </c>
      <c r="N87" s="154">
        <f t="shared" si="28"/>
        <v>17</v>
      </c>
      <c r="O87" s="154">
        <f t="shared" si="28"/>
        <v>17</v>
      </c>
      <c r="P87" s="154">
        <f t="shared" si="28"/>
        <v>17</v>
      </c>
      <c r="Q87" s="154">
        <f t="shared" si="28"/>
        <v>17</v>
      </c>
      <c r="R87" s="154">
        <f t="shared" si="28"/>
        <v>17</v>
      </c>
      <c r="S87" s="154">
        <f t="shared" si="28"/>
        <v>17</v>
      </c>
      <c r="T87" s="154">
        <f t="shared" si="28"/>
        <v>17</v>
      </c>
      <c r="U87" s="154">
        <f t="shared" si="28"/>
        <v>18</v>
      </c>
      <c r="V87" s="154">
        <f t="shared" si="28"/>
        <v>20</v>
      </c>
      <c r="W87" s="154">
        <f t="shared" si="28"/>
        <v>21</v>
      </c>
      <c r="X87" s="154">
        <f t="shared" si="28"/>
        <v>24</v>
      </c>
      <c r="Y87" s="154">
        <f t="shared" si="28"/>
        <v>30</v>
      </c>
      <c r="Z87" s="154">
        <f t="shared" si="28"/>
        <v>36</v>
      </c>
      <c r="AA87" s="155">
        <f t="shared" si="28"/>
        <v>42</v>
      </c>
    </row>
    <row r="88" spans="1:27" ht="14.4" x14ac:dyDescent="0.2">
      <c r="A88" s="732" t="s">
        <v>23</v>
      </c>
      <c r="B88" s="763"/>
      <c r="C88" s="763"/>
      <c r="D88" s="763"/>
      <c r="E88" s="763"/>
      <c r="F88" s="763"/>
      <c r="G88" s="763"/>
    </row>
    <row r="89" spans="1:27" ht="14.4" x14ac:dyDescent="0.3">
      <c r="A89" s="732"/>
      <c r="B89" s="740"/>
      <c r="C89" s="740"/>
      <c r="D89" s="740"/>
      <c r="E89" s="740"/>
      <c r="F89" s="740"/>
      <c r="G89" s="740"/>
    </row>
    <row r="90" spans="1:27" ht="14.4" x14ac:dyDescent="0.3">
      <c r="A90" s="66"/>
      <c r="B90"/>
      <c r="C90"/>
      <c r="D90"/>
      <c r="E90"/>
      <c r="F90"/>
      <c r="G90"/>
    </row>
    <row r="91" spans="1:27" ht="14.4" x14ac:dyDescent="0.3">
      <c r="B91" s="1" t="s">
        <v>11</v>
      </c>
      <c r="C91" s="2"/>
      <c r="D91"/>
      <c r="E91"/>
      <c r="F91"/>
      <c r="G91"/>
    </row>
    <row r="92" spans="1:27" ht="14.4" x14ac:dyDescent="0.3">
      <c r="B92" s="749" t="s">
        <v>63</v>
      </c>
      <c r="C92" s="750"/>
      <c r="D92"/>
      <c r="E92"/>
      <c r="F92"/>
      <c r="G92"/>
    </row>
    <row r="93" spans="1:27" ht="14.4" x14ac:dyDescent="0.3">
      <c r="B93" s="749" t="s">
        <v>65</v>
      </c>
      <c r="C93" s="750"/>
      <c r="D93"/>
      <c r="E93"/>
      <c r="F93"/>
      <c r="G93"/>
    </row>
    <row r="94" spans="1:27" ht="14.4" x14ac:dyDescent="0.3">
      <c r="B94" s="76" t="s">
        <v>64</v>
      </c>
      <c r="D94"/>
      <c r="E94"/>
      <c r="F94"/>
      <c r="G94"/>
    </row>
    <row r="95" spans="1:27" ht="14.4" x14ac:dyDescent="0.3">
      <c r="B95" s="76" t="s">
        <v>12</v>
      </c>
      <c r="D95"/>
      <c r="E95"/>
      <c r="F95"/>
      <c r="G95"/>
    </row>
  </sheetData>
  <autoFilter ref="H27:H79" xr:uid="{00000000-0009-0000-0000-000000000000}"/>
  <mergeCells count="52">
    <mergeCell ref="A79:F79"/>
    <mergeCell ref="L28:AA28"/>
    <mergeCell ref="K40:AA40"/>
    <mergeCell ref="K56:AA56"/>
    <mergeCell ref="K57:AA57"/>
    <mergeCell ref="L61:AA61"/>
    <mergeCell ref="L78:AA78"/>
    <mergeCell ref="K74:AA74"/>
    <mergeCell ref="A8:C8"/>
    <mergeCell ref="A9:F9"/>
    <mergeCell ref="A10:F10"/>
    <mergeCell ref="D11:D12"/>
    <mergeCell ref="E26:E27"/>
    <mergeCell ref="F11:G11"/>
    <mergeCell ref="F12:G12"/>
    <mergeCell ref="F14:G14"/>
    <mergeCell ref="F15:G15"/>
    <mergeCell ref="A25:G25"/>
    <mergeCell ref="B26:B27"/>
    <mergeCell ref="C26:C27"/>
    <mergeCell ref="D26:D27"/>
    <mergeCell ref="F16:G16"/>
    <mergeCell ref="D14:D18"/>
    <mergeCell ref="F17:G17"/>
    <mergeCell ref="A7:C7"/>
    <mergeCell ref="C1:G1"/>
    <mergeCell ref="A2:C2"/>
    <mergeCell ref="A4:C4"/>
    <mergeCell ref="A5:C5"/>
    <mergeCell ref="A6:C6"/>
    <mergeCell ref="B92:C92"/>
    <mergeCell ref="B93:C93"/>
    <mergeCell ref="A28:F28"/>
    <mergeCell ref="A71:F71"/>
    <mergeCell ref="A77:F77"/>
    <mergeCell ref="B78:F78"/>
    <mergeCell ref="A81:G81"/>
    <mergeCell ref="A82:G82"/>
    <mergeCell ref="A85:G85"/>
    <mergeCell ref="A86:G86"/>
    <mergeCell ref="A83:C83"/>
    <mergeCell ref="A87:G87"/>
    <mergeCell ref="A88:G88"/>
    <mergeCell ref="A89:G89"/>
    <mergeCell ref="A48:F48"/>
    <mergeCell ref="A60:F60"/>
    <mergeCell ref="F18:G18"/>
    <mergeCell ref="L44:AA44"/>
    <mergeCell ref="K39:AA39"/>
    <mergeCell ref="A37:F37"/>
    <mergeCell ref="K73:AA73"/>
    <mergeCell ref="K24:AA24"/>
  </mergeCells>
  <conditionalFormatting sqref="D11:D12 E12:F12">
    <cfRule type="expression" dxfId="16" priority="13">
      <formula>$E$12="X"</formula>
    </cfRule>
    <cfRule type="expression" priority="14">
      <formula>$D$12="X"</formula>
    </cfRule>
  </conditionalFormatting>
  <conditionalFormatting sqref="D14 E15:F15">
    <cfRule type="expression" dxfId="15" priority="8">
      <formula>$E$15="X"</formula>
    </cfRule>
  </conditionalFormatting>
  <conditionalFormatting sqref="D14 E16:F18">
    <cfRule type="expression" dxfId="14" priority="7">
      <formula>$E$16="X"</formula>
    </cfRule>
  </conditionalFormatting>
  <conditionalFormatting sqref="D21:D22">
    <cfRule type="expression" dxfId="13" priority="3">
      <formula>$D$22&lt;&gt;""</formula>
    </cfRule>
  </conditionalFormatting>
  <conditionalFormatting sqref="D14:F14">
    <cfRule type="expression" dxfId="12" priority="9">
      <formula>$E$14="X"</formula>
    </cfRule>
  </conditionalFormatting>
  <conditionalFormatting sqref="E21:E22">
    <cfRule type="expression" dxfId="11" priority="2">
      <formula>$E$22&lt;&gt;""</formula>
    </cfRule>
  </conditionalFormatting>
  <conditionalFormatting sqref="E11:F11 D11:D12">
    <cfRule type="expression" dxfId="10" priority="15">
      <formula>$E$11="X"</formula>
    </cfRule>
  </conditionalFormatting>
  <conditionalFormatting sqref="F21:F22">
    <cfRule type="expression" dxfId="9" priority="12">
      <formula>$F$22&lt;&gt;""</formula>
    </cfRule>
  </conditionalFormatting>
  <conditionalFormatting sqref="G21:G22">
    <cfRule type="expression" dxfId="8" priority="11">
      <formula>$G$22&lt;&gt;""</formula>
    </cfRule>
  </conditionalFormatting>
  <conditionalFormatting sqref="L29:AA37">
    <cfRule type="cellIs" dxfId="7" priority="1" operator="equal">
      <formula>HLOOKUP($G$22,$L$26:$AA$37,MATCH($D$22,$J$26:$J$37,0)+MATCH($E$22,$K$29:$K$31,0)-1,0)</formula>
    </cfRule>
  </conditionalFormatting>
  <dataValidations count="3">
    <dataValidation type="list" allowBlank="1" showInputMessage="1" showErrorMessage="1" sqref="G22" xr:uid="{F399A148-71D3-4C6D-ABAA-3A7A5001CB01}">
      <formula1>$L$26:$AA$26</formula1>
    </dataValidation>
    <dataValidation type="list" allowBlank="1" showInputMessage="1" showErrorMessage="1" sqref="D22" xr:uid="{40CCC5C7-01B2-4250-9F8D-00BEDE4FBC85}">
      <formula1>"20,30,50"</formula1>
    </dataValidation>
    <dataValidation type="list" allowBlank="1" showInputMessage="1" showErrorMessage="1" sqref="E22" xr:uid="{856AC6F3-67E2-4FB8-A6BE-735CD68B8F09}">
      <formula1>"-20, -25, -35"</formula1>
    </dataValidation>
  </dataValidations>
  <hyperlinks>
    <hyperlink ref="B95" r:id="rId1" xr:uid="{8B996008-16F6-436C-987E-21564E0784B8}"/>
    <hyperlink ref="B94" r:id="rId2" display="mailto:mihail.macovei@magnumheating.ro" xr:uid="{ACE574B3-BADF-427D-9A89-2D58B6BE6136}"/>
  </hyperlinks>
  <pageMargins left="0.70866141732283505" right="0.23622047244094499" top="1.14173228346457" bottom="1.0629921259842501" header="0.196850393700787" footer="0.15748031496063"/>
  <pageSetup paperSize="9" scale="83" orientation="portrait" r:id="rId3"/>
  <headerFooter scaleWithDoc="0" alignWithMargins="0">
    <oddHeader>&amp;L&amp;G&amp;R&amp;G</oddHeader>
    <oddFooter xml:space="preserve">&amp;LRO33404978
J40/8589/2014
 RO50BREL0002003055820100
LIBRA BANK&amp;CStr. Învingătorilor nr. 27, Sector 3, București
Tel :  (+4) 0314.361.836
Mobil:  (+4) 0724.204.888
             (+4) 0766.367.287&amp;REmail: 
comercial@magnumheating.ro
</oddFooter>
  </headerFooter>
  <colBreaks count="1" manualBreakCount="1">
    <brk id="7" max="1048575" man="1"/>
  </colBreaks>
  <ignoredErrors>
    <ignoredError sqref="D83" evalError="1"/>
  </ignoredErrors>
  <drawing r:id="rId4"/>
  <legacyDrawing r:id="rId5"/>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KIT JGHEAB, BURLAN</vt:lpstr>
      <vt:lpstr>JGHEAB,BURLAN </vt:lpstr>
      <vt:lpstr>CABLU IN BETON</vt:lpstr>
      <vt:lpstr>CABLU IN  ASFALT</vt:lpstr>
      <vt:lpstr>COVOR IN ADEZIV</vt:lpstr>
      <vt:lpstr>COVOR IN BETON</vt:lpstr>
      <vt:lpstr>CABLU IDEAL</vt:lpstr>
      <vt:lpstr>conducte cu autoreg. si P ct.</vt:lpstr>
      <vt:lpstr>calcule pt oferta</vt:lpstr>
      <vt:lpstr>Oferta Degivrare</vt:lpstr>
      <vt:lpstr>Sisteme incalzire el- degivrare</vt:lpstr>
      <vt:lpstr>'CABLU IDEAL'!Print_Area</vt:lpstr>
      <vt:lpstr>'CABLU IN  ASFALT'!Print_Area</vt:lpstr>
      <vt:lpstr>'CABLU IN BETON'!Print_Area</vt:lpstr>
      <vt:lpstr>'calcule pt oferta'!Print_Area</vt:lpstr>
      <vt:lpstr>'conducte cu autoreg. si P ct.'!Print_Area</vt:lpstr>
      <vt:lpstr>'COVOR IN ADEZIV'!Print_Area</vt:lpstr>
      <vt:lpstr>'COVOR IN BETON'!Print_Area</vt:lpstr>
      <vt:lpstr>'JGHEAB,BURLAN '!Print_Area</vt:lpstr>
      <vt:lpstr>'KIT JGHEAB, BURLAN'!Print_Area</vt:lpstr>
      <vt:lpstr>'Sisteme incalzire el- degivrare'!Print_Area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Fujitsu</dc:creator>
  <cp:lastModifiedBy>Comercial  (Magnum Heating RO)</cp:lastModifiedBy>
  <cp:lastPrinted>2026-01-26T17:05:49Z</cp:lastPrinted>
  <dcterms:created xsi:type="dcterms:W3CDTF">2022-07-26T13:17:27Z</dcterms:created>
  <dcterms:modified xsi:type="dcterms:W3CDTF">2026-04-02T07:49:59Z</dcterms:modified>
</cp:coreProperties>
</file>