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AcestRegistruDeLucru" defaultThemeVersion="166925"/>
  <mc:AlternateContent xmlns:mc="http://schemas.openxmlformats.org/markup-compatibility/2006">
    <mc:Choice Requires="x15">
      <x15ac:absPath xmlns:x15ac="http://schemas.microsoft.com/office/spreadsheetml/2010/11/ac" url="C:\Users\Huawei\Desktop\Matrite Calcul 2026 ok\"/>
    </mc:Choice>
  </mc:AlternateContent>
  <xr:revisionPtr revIDLastSave="0" documentId="8_{7F3B823E-28ED-4C15-92D2-9DEBFBBB127E}" xr6:coauthVersionLast="47" xr6:coauthVersionMax="47" xr10:uidLastSave="{00000000-0000-0000-0000-000000000000}"/>
  <bookViews>
    <workbookView xWindow="28680" yWindow="-120" windowWidth="29040" windowHeight="15720" tabRatio="867" firstSheet="1" activeTab="9" xr2:uid="{00000000-000D-0000-FFFF-FFFF00000000}"/>
  </bookViews>
  <sheets>
    <sheet name="CABLU SAPA" sheetId="2" r:id="rId1"/>
    <sheet name="COV. GRESIE" sheetId="3" r:id="rId2"/>
    <sheet name="COV. PARCHET" sheetId="4" r:id="rId3"/>
    <sheet name="COV. PARCHET + COV. GRESIE" sheetId="9" r:id="rId4"/>
    <sheet name="FILM PARCHET" sheetId="5" r:id="rId5"/>
    <sheet name="FILM PARCHET+ COV. GRESIE" sheetId="8" r:id="rId6"/>
    <sheet name="HEATBOARD E" sheetId="6" r:id="rId7"/>
    <sheet name="HEATBOARD El. + COV GRESIE" sheetId="11" r:id="rId8"/>
    <sheet name="PANOURI RAD." sheetId="7" r:id="rId9"/>
    <sheet name="Sisteme incalzire electrica" sheetId="10" r:id="rId10"/>
  </sheets>
  <definedNames>
    <definedName name="_xlnm._FilterDatabase" localSheetId="0" hidden="1">'CABLU SAPA'!$H$20:$H$72</definedName>
    <definedName name="_xlnm._FilterDatabase" localSheetId="1" hidden="1">'COV. GRESIE'!$H$18:$H$49</definedName>
    <definedName name="_xlnm._FilterDatabase" localSheetId="2" hidden="1">'COV. PARCHET'!$H$18:$H$42</definedName>
    <definedName name="_xlnm._FilterDatabase" localSheetId="3" hidden="1">'COV. PARCHET + COV. GRESIE'!$H$18:$H$61</definedName>
    <definedName name="_xlnm._FilterDatabase" localSheetId="4" hidden="1">'FILM PARCHET'!$H$19:$H$38</definedName>
    <definedName name="_xlnm._FilterDatabase" localSheetId="5" hidden="1">'FILM PARCHET+ COV. GRESIE'!$H$20:$H$59</definedName>
    <definedName name="_xlnm._FilterDatabase" localSheetId="6" hidden="1">'HEATBOARD E'!$H$17:$H$39</definedName>
    <definedName name="_xlnm._FilterDatabase" localSheetId="7" hidden="1">'HEATBOARD El. + COV GRESIE'!$H$17:$H$59</definedName>
    <definedName name="_xlnm._FilterDatabase" localSheetId="8" hidden="1">'PANOURI RAD.'!$H$17:$H$34</definedName>
    <definedName name="_xlnm._FilterDatabase" localSheetId="9" hidden="1">'Sisteme incalzire electrica'!$H$17:$H$160</definedName>
    <definedName name="_Hlk75355259" localSheetId="0">'CABLU SAPA'!#REF!</definedName>
    <definedName name="_Hlk75355259" localSheetId="1">'COV. GRESIE'!#REF!</definedName>
    <definedName name="_Hlk75355259" localSheetId="2">'COV. PARCHET'!#REF!</definedName>
    <definedName name="_Hlk75355259" localSheetId="3">'COV. PARCHET + COV. GRESIE'!#REF!</definedName>
    <definedName name="_Hlk75355259" localSheetId="4">'FILM PARCHET'!#REF!</definedName>
    <definedName name="_Hlk75355259" localSheetId="5">'FILM PARCHET+ COV. GRESIE'!#REF!</definedName>
    <definedName name="_Hlk75355259" localSheetId="6">'HEATBOARD E'!#REF!</definedName>
    <definedName name="_Hlk75355259" localSheetId="7">'HEATBOARD El. + COV GRESIE'!#REF!</definedName>
    <definedName name="_Hlk75355259" localSheetId="8">'PANOURI RAD.'!#REF!</definedName>
    <definedName name="_Hlk75355259" localSheetId="9">'Sisteme incalzire electrica'!#REF!</definedName>
    <definedName name="_Hlk77248064" localSheetId="0">'CABLU SAPA'!#REF!</definedName>
    <definedName name="_Hlk77248064" localSheetId="1">'COV. GRESIE'!#REF!</definedName>
    <definedName name="_Hlk77248064" localSheetId="2">'COV. PARCHET'!#REF!</definedName>
    <definedName name="_Hlk77248064" localSheetId="3">'COV. PARCHET + COV. GRESIE'!#REF!</definedName>
    <definedName name="_Hlk77248064" localSheetId="4">'FILM PARCHET'!#REF!</definedName>
    <definedName name="_Hlk77248064" localSheetId="5">'FILM PARCHET+ COV. GRESIE'!#REF!</definedName>
    <definedName name="_Hlk77248064" localSheetId="6">'HEATBOARD E'!#REF!</definedName>
    <definedName name="_Hlk77248064" localSheetId="7">'HEATBOARD El. + COV GRESIE'!#REF!</definedName>
    <definedName name="_Hlk77248064" localSheetId="8">'PANOURI RAD.'!#REF!</definedName>
    <definedName name="_Hlk77248064" localSheetId="9">'Sisteme incalzire electrica'!#REF!</definedName>
    <definedName name="_xlnm.Print_Area" localSheetId="0">'CABLU SAPA'!$A$1:$G$113</definedName>
    <definedName name="_xlnm.Print_Area" localSheetId="1">'COV. GRESIE'!$A$1:$G$78</definedName>
    <definedName name="_xlnm.Print_Area" localSheetId="2">'COV. PARCHET'!$A$1:$G$86</definedName>
    <definedName name="_xlnm.Print_Area" localSheetId="3">'COV. PARCHET + COV. GRESIE'!$A$1:$G$107</definedName>
    <definedName name="_xlnm.Print_Area" localSheetId="4">'FILM PARCHET'!$A$1:$G$73</definedName>
    <definedName name="_xlnm.Print_Area" localSheetId="5">'FILM PARCHET+ COV. GRESIE'!$A$1:$G$91</definedName>
    <definedName name="_xlnm.Print_Area" localSheetId="6">'HEATBOARD E'!$A$1:$G$75</definedName>
    <definedName name="_xlnm.Print_Area" localSheetId="7">'HEATBOARD El. + COV GRESIE'!$A$1:$G$103</definedName>
    <definedName name="_xlnm.Print_Area" localSheetId="8">'PANOURI RAD.'!$A$1:$G$53</definedName>
    <definedName name="_xlnm.Print_Area" localSheetId="9">'Sisteme incalzire electrica'!$A$1:$G$192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2" i="10" l="1"/>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57" i="10"/>
  <c r="G157" i="10"/>
  <c r="H156" i="10"/>
  <c r="H155" i="10"/>
  <c r="G154" i="10"/>
  <c r="G153" i="10"/>
  <c r="H152" i="10"/>
  <c r="H151" i="10"/>
  <c r="H98" i="10"/>
  <c r="F31" i="7"/>
  <c r="F30" i="7"/>
  <c r="F29" i="7"/>
  <c r="F28" i="7"/>
  <c r="F27" i="7"/>
  <c r="F26" i="7"/>
  <c r="F25" i="7"/>
  <c r="H18" i="7"/>
  <c r="H115" i="10" l="1"/>
  <c r="G152" i="10"/>
  <c r="G155" i="10"/>
  <c r="G156" i="10"/>
  <c r="H153" i="10"/>
  <c r="H154" i="10"/>
  <c r="G151" i="10"/>
  <c r="G98" i="10"/>
  <c r="L59" i="5" l="1"/>
  <c r="G40" i="4" l="1"/>
  <c r="H39" i="4"/>
  <c r="G39" i="4"/>
  <c r="G70" i="2"/>
  <c r="E20" i="4"/>
  <c r="E21" i="4"/>
  <c r="E22" i="4"/>
  <c r="E23" i="4"/>
  <c r="E24" i="4"/>
  <c r="E25" i="4"/>
  <c r="E26" i="4"/>
  <c r="E27" i="4"/>
  <c r="E28" i="4"/>
  <c r="G69" i="2"/>
  <c r="L74" i="4"/>
  <c r="L75" i="4"/>
  <c r="L76" i="4"/>
  <c r="L77" i="4"/>
  <c r="L78" i="4"/>
  <c r="L79" i="4"/>
  <c r="L80" i="4"/>
  <c r="L81" i="4"/>
  <c r="L82" i="4"/>
  <c r="L83" i="4"/>
  <c r="L84" i="4"/>
  <c r="L85" i="4"/>
  <c r="L73" i="4"/>
  <c r="L60" i="4"/>
  <c r="L61" i="4"/>
  <c r="L62" i="4"/>
  <c r="L63" i="4"/>
  <c r="L64" i="4"/>
  <c r="L65" i="4"/>
  <c r="L66" i="4"/>
  <c r="L67" i="4"/>
  <c r="L68" i="4"/>
  <c r="L69" i="4"/>
  <c r="L70" i="4"/>
  <c r="L71" i="4"/>
  <c r="L52" i="7"/>
  <c r="L53" i="7"/>
  <c r="L54" i="7"/>
  <c r="L55" i="7"/>
  <c r="L56" i="7"/>
  <c r="L57" i="7"/>
  <c r="L58" i="7"/>
  <c r="L59" i="7"/>
  <c r="L60" i="7"/>
  <c r="L61" i="7"/>
  <c r="L62" i="7"/>
  <c r="L63" i="7"/>
  <c r="L64" i="7"/>
  <c r="H69" i="2" l="1"/>
  <c r="I75" i="3"/>
  <c r="E44" i="8"/>
  <c r="E43" i="8"/>
  <c r="E42" i="8"/>
  <c r="E41" i="8"/>
  <c r="E40" i="8"/>
  <c r="E39" i="8"/>
  <c r="E38" i="8"/>
  <c r="E37" i="8"/>
  <c r="E36" i="8"/>
  <c r="E35" i="8"/>
  <c r="E34" i="8"/>
  <c r="E33" i="8"/>
  <c r="E32" i="8"/>
  <c r="E31" i="8"/>
  <c r="E30" i="8"/>
  <c r="E29" i="8"/>
  <c r="E28" i="8"/>
  <c r="E47" i="9"/>
  <c r="H47" i="9" s="1"/>
  <c r="E46" i="9"/>
  <c r="H46" i="9" s="1"/>
  <c r="E45" i="9"/>
  <c r="H45" i="9" s="1"/>
  <c r="E44" i="9"/>
  <c r="H44" i="9" s="1"/>
  <c r="E43" i="9"/>
  <c r="H43" i="9" s="1"/>
  <c r="E42" i="9"/>
  <c r="H42" i="9" s="1"/>
  <c r="E41" i="9"/>
  <c r="H41" i="9" s="1"/>
  <c r="E40" i="9"/>
  <c r="H40" i="9" s="1"/>
  <c r="E39" i="9"/>
  <c r="H39" i="9" s="1"/>
  <c r="E38" i="9"/>
  <c r="H38" i="9" s="1"/>
  <c r="E37" i="9"/>
  <c r="H37" i="9" s="1"/>
  <c r="E36" i="9"/>
  <c r="H36" i="9" s="1"/>
  <c r="E35" i="9"/>
  <c r="H35" i="9" s="1"/>
  <c r="E34" i="9"/>
  <c r="E33" i="9"/>
  <c r="H33" i="9" s="1"/>
  <c r="E32" i="9"/>
  <c r="H32" i="9" s="1"/>
  <c r="E31" i="9"/>
  <c r="E29" i="9"/>
  <c r="H29" i="9" s="1"/>
  <c r="E28" i="9"/>
  <c r="H28" i="9" s="1"/>
  <c r="E27" i="9"/>
  <c r="H27" i="9" s="1"/>
  <c r="E26" i="9"/>
  <c r="H26" i="9" s="1"/>
  <c r="E25" i="9"/>
  <c r="H25" i="9" s="1"/>
  <c r="E24" i="9"/>
  <c r="H24" i="9" s="1"/>
  <c r="E23" i="9"/>
  <c r="H23" i="9" s="1"/>
  <c r="E22" i="9"/>
  <c r="H22" i="9" s="1"/>
  <c r="E21" i="9"/>
  <c r="H21" i="9" s="1"/>
  <c r="E20" i="9"/>
  <c r="E29" i="4"/>
  <c r="H37" i="4"/>
  <c r="H55" i="9"/>
  <c r="H34" i="9"/>
  <c r="H33" i="5"/>
  <c r="M41" i="9" l="1"/>
  <c r="H52" i="8"/>
  <c r="H36" i="6"/>
  <c r="H54" i="11"/>
  <c r="H31" i="7"/>
  <c r="H101" i="10"/>
  <c r="H102" i="10"/>
  <c r="H103" i="10"/>
  <c r="H104" i="10"/>
  <c r="H105" i="10"/>
  <c r="H106" i="10"/>
  <c r="H89" i="10"/>
  <c r="H90" i="10"/>
  <c r="H91" i="10"/>
  <c r="H92" i="10"/>
  <c r="H93" i="10"/>
  <c r="H94" i="10"/>
  <c r="H95" i="10"/>
  <c r="H78" i="10"/>
  <c r="H79" i="10"/>
  <c r="H80" i="10"/>
  <c r="H81" i="10"/>
  <c r="H82" i="10"/>
  <c r="H83" i="10"/>
  <c r="H84" i="10"/>
  <c r="H85" i="10"/>
  <c r="H86" i="10"/>
  <c r="H60" i="10"/>
  <c r="H61" i="10"/>
  <c r="H62" i="10"/>
  <c r="H63" i="10"/>
  <c r="H64" i="10"/>
  <c r="H65" i="10"/>
  <c r="H66" i="10"/>
  <c r="H67" i="10"/>
  <c r="H68" i="10"/>
  <c r="H69" i="10"/>
  <c r="H70" i="10"/>
  <c r="H71" i="10"/>
  <c r="H72" i="10"/>
  <c r="H73" i="10"/>
  <c r="H74" i="10"/>
  <c r="H75" i="10"/>
  <c r="H43" i="10"/>
  <c r="H44" i="10"/>
  <c r="H45" i="10"/>
  <c r="H46" i="10"/>
  <c r="H47" i="10"/>
  <c r="H48" i="10"/>
  <c r="H49" i="10"/>
  <c r="H50" i="10"/>
  <c r="H51" i="10"/>
  <c r="H31" i="10"/>
  <c r="H32" i="10"/>
  <c r="H33" i="10"/>
  <c r="H34" i="10"/>
  <c r="H35" i="10"/>
  <c r="H36" i="10"/>
  <c r="H37" i="10"/>
  <c r="H38" i="10"/>
  <c r="H39" i="10"/>
  <c r="H40" i="10"/>
  <c r="H20" i="10"/>
  <c r="H21" i="10"/>
  <c r="H22" i="10"/>
  <c r="H23" i="10"/>
  <c r="H24" i="10"/>
  <c r="H25" i="10"/>
  <c r="H26" i="10"/>
  <c r="H27" i="10"/>
  <c r="H28" i="10"/>
  <c r="H141" i="10"/>
  <c r="H142" i="10"/>
  <c r="H143" i="10"/>
  <c r="H144" i="10"/>
  <c r="H145" i="10"/>
  <c r="H146" i="10"/>
  <c r="H147" i="10"/>
  <c r="H148" i="10"/>
  <c r="H149" i="10"/>
  <c r="H150" i="10"/>
  <c r="H19" i="10"/>
  <c r="H55" i="10"/>
  <c r="H54" i="10" s="1"/>
  <c r="G56" i="10"/>
  <c r="H56" i="10"/>
  <c r="G57" i="10"/>
  <c r="H57" i="10"/>
  <c r="G146" i="10"/>
  <c r="G144" i="10"/>
  <c r="G143" i="10"/>
  <c r="G140" i="10"/>
  <c r="G54" i="11"/>
  <c r="G31" i="7"/>
  <c r="G36" i="6"/>
  <c r="G52" i="8"/>
  <c r="M81" i="8"/>
  <c r="M82" i="8"/>
  <c r="M83" i="8"/>
  <c r="M84" i="8"/>
  <c r="M85" i="8"/>
  <c r="M86" i="8"/>
  <c r="M87" i="8"/>
  <c r="M88" i="8"/>
  <c r="M89" i="8"/>
  <c r="M90" i="8"/>
  <c r="M91" i="8"/>
  <c r="M92" i="8"/>
  <c r="M93" i="8"/>
  <c r="M94" i="8"/>
  <c r="M95" i="8"/>
  <c r="M96" i="8"/>
  <c r="M97" i="8"/>
  <c r="M98" i="8"/>
  <c r="M99" i="8"/>
  <c r="M100" i="8"/>
  <c r="M101" i="8"/>
  <c r="M102" i="8"/>
  <c r="M103" i="8"/>
  <c r="M104" i="8"/>
  <c r="M105" i="8"/>
  <c r="M106" i="8"/>
  <c r="L81" i="8"/>
  <c r="L82" i="8"/>
  <c r="L83" i="8"/>
  <c r="L84" i="8"/>
  <c r="L85" i="8"/>
  <c r="L86" i="8"/>
  <c r="L87" i="8"/>
  <c r="L88" i="8"/>
  <c r="L89" i="8"/>
  <c r="L90" i="8"/>
  <c r="L91" i="8"/>
  <c r="L92" i="8"/>
  <c r="L93" i="8"/>
  <c r="L94" i="8"/>
  <c r="L95" i="8"/>
  <c r="L96" i="8"/>
  <c r="L97" i="8"/>
  <c r="L98" i="8"/>
  <c r="L99" i="8"/>
  <c r="L100" i="8"/>
  <c r="L101" i="8"/>
  <c r="L102" i="8"/>
  <c r="L103" i="8"/>
  <c r="L104" i="8"/>
  <c r="L105" i="8"/>
  <c r="L106" i="8"/>
  <c r="M80" i="8"/>
  <c r="M59" i="5"/>
  <c r="P59" i="5" s="1"/>
  <c r="L80" i="8"/>
  <c r="M85" i="5"/>
  <c r="P85" i="5" s="1"/>
  <c r="L85" i="5"/>
  <c r="N85" i="5" s="1"/>
  <c r="L60" i="5"/>
  <c r="O60" i="5" s="1"/>
  <c r="L61" i="5"/>
  <c r="O61" i="5" s="1"/>
  <c r="L62" i="5"/>
  <c r="O62" i="5" s="1"/>
  <c r="L63" i="5"/>
  <c r="O63" i="5" s="1"/>
  <c r="L64" i="5"/>
  <c r="O64" i="5" s="1"/>
  <c r="L65" i="5"/>
  <c r="L66" i="5"/>
  <c r="L67" i="5"/>
  <c r="O67" i="5" s="1"/>
  <c r="L68" i="5"/>
  <c r="O68" i="5" s="1"/>
  <c r="L69" i="5"/>
  <c r="O69" i="5" s="1"/>
  <c r="L70" i="5"/>
  <c r="O70" i="5" s="1"/>
  <c r="L71" i="5"/>
  <c r="O71" i="5" s="1"/>
  <c r="L72" i="5"/>
  <c r="L73" i="5"/>
  <c r="L74" i="5"/>
  <c r="L75" i="5"/>
  <c r="O75" i="5" s="1"/>
  <c r="L76" i="5"/>
  <c r="O76" i="5" s="1"/>
  <c r="L77" i="5"/>
  <c r="L78" i="5"/>
  <c r="L79" i="5"/>
  <c r="O79" i="5" s="1"/>
  <c r="L80" i="5"/>
  <c r="O80" i="5" s="1"/>
  <c r="L81" i="5"/>
  <c r="O81" i="5" s="1"/>
  <c r="L82" i="5"/>
  <c r="O82" i="5" s="1"/>
  <c r="L83" i="5"/>
  <c r="O83" i="5" s="1"/>
  <c r="L84" i="5"/>
  <c r="O84" i="5" s="1"/>
  <c r="O59" i="5"/>
  <c r="M60" i="5"/>
  <c r="P60" i="5" s="1"/>
  <c r="M61" i="5"/>
  <c r="P61" i="5" s="1"/>
  <c r="M62" i="5"/>
  <c r="P62" i="5" s="1"/>
  <c r="M63" i="5"/>
  <c r="P63" i="5" s="1"/>
  <c r="M64" i="5"/>
  <c r="P64" i="5" s="1"/>
  <c r="M65" i="5"/>
  <c r="P65" i="5" s="1"/>
  <c r="M66" i="5"/>
  <c r="P66" i="5" s="1"/>
  <c r="M67" i="5"/>
  <c r="P67" i="5" s="1"/>
  <c r="M68" i="5"/>
  <c r="P68" i="5" s="1"/>
  <c r="M69" i="5"/>
  <c r="P69" i="5" s="1"/>
  <c r="M70" i="5"/>
  <c r="P70" i="5" s="1"/>
  <c r="M71" i="5"/>
  <c r="P71" i="5" s="1"/>
  <c r="M72" i="5"/>
  <c r="P72" i="5" s="1"/>
  <c r="M73" i="5"/>
  <c r="M74" i="5"/>
  <c r="P74" i="5" s="1"/>
  <c r="M75" i="5"/>
  <c r="M76" i="5"/>
  <c r="P76" i="5" s="1"/>
  <c r="M77" i="5"/>
  <c r="P77" i="5" s="1"/>
  <c r="M78" i="5"/>
  <c r="P78" i="5" s="1"/>
  <c r="M79" i="5"/>
  <c r="P79" i="5" s="1"/>
  <c r="M80" i="5"/>
  <c r="P80" i="5" s="1"/>
  <c r="M81" i="5"/>
  <c r="P81" i="5" s="1"/>
  <c r="M82" i="5"/>
  <c r="P82" i="5" s="1"/>
  <c r="M83" i="5"/>
  <c r="P83" i="5" s="1"/>
  <c r="M84" i="5"/>
  <c r="P84" i="5" s="1"/>
  <c r="P75" i="5"/>
  <c r="P73" i="5"/>
  <c r="O65" i="5"/>
  <c r="O66" i="5"/>
  <c r="O72" i="5"/>
  <c r="O73" i="5"/>
  <c r="O74" i="5"/>
  <c r="O77" i="5"/>
  <c r="O78" i="5"/>
  <c r="G33" i="5"/>
  <c r="G55" i="9"/>
  <c r="G37" i="4"/>
  <c r="Y96" i="2"/>
  <c r="Y97" i="2"/>
  <c r="Y98" i="2"/>
  <c r="Y99" i="2"/>
  <c r="Y100" i="2"/>
  <c r="Y101" i="2"/>
  <c r="Y102" i="2"/>
  <c r="Y103" i="2"/>
  <c r="Y104" i="2"/>
  <c r="Y105" i="2"/>
  <c r="Y106" i="2"/>
  <c r="Y107" i="2"/>
  <c r="Y109" i="2"/>
  <c r="Y110" i="2"/>
  <c r="Y111" i="2"/>
  <c r="Y112" i="2"/>
  <c r="Y113" i="2"/>
  <c r="Y114" i="2"/>
  <c r="Y115" i="2"/>
  <c r="Y116" i="2"/>
  <c r="Y117" i="2"/>
  <c r="Y118" i="2"/>
  <c r="Y119" i="2"/>
  <c r="M95" i="2"/>
  <c r="Y95" i="2"/>
  <c r="H44" i="3"/>
  <c r="G44" i="3"/>
  <c r="E36" i="3"/>
  <c r="H36" i="3" s="1"/>
  <c r="E35" i="3"/>
  <c r="H35" i="3" s="1"/>
  <c r="E34" i="3"/>
  <c r="H34" i="3" s="1"/>
  <c r="E33" i="3"/>
  <c r="H33" i="3" s="1"/>
  <c r="E32" i="3"/>
  <c r="H32" i="3" s="1"/>
  <c r="E31" i="3"/>
  <c r="H31" i="3" s="1"/>
  <c r="E30" i="3"/>
  <c r="H30" i="3" s="1"/>
  <c r="E29" i="3"/>
  <c r="H29" i="3" s="1"/>
  <c r="E28" i="3"/>
  <c r="H28" i="3" s="1"/>
  <c r="E27" i="3"/>
  <c r="H27" i="3" s="1"/>
  <c r="E26" i="3"/>
  <c r="H26" i="3" s="1"/>
  <c r="E25" i="3"/>
  <c r="H25" i="3" s="1"/>
  <c r="E24" i="3"/>
  <c r="H24" i="3" s="1"/>
  <c r="E23" i="3"/>
  <c r="H23" i="3" s="1"/>
  <c r="E22" i="3"/>
  <c r="H22" i="3" s="1"/>
  <c r="E21" i="3"/>
  <c r="H21" i="3" s="1"/>
  <c r="E20" i="3"/>
  <c r="E54" i="2"/>
  <c r="H54" i="2" s="1"/>
  <c r="E53" i="2"/>
  <c r="E52" i="2"/>
  <c r="E51" i="2"/>
  <c r="E50" i="2"/>
  <c r="E49" i="2"/>
  <c r="E48" i="2"/>
  <c r="E47" i="2"/>
  <c r="H47" i="2" s="1"/>
  <c r="E46" i="2"/>
  <c r="E45" i="2"/>
  <c r="E31" i="2"/>
  <c r="E30" i="2"/>
  <c r="E29" i="2"/>
  <c r="E28" i="2"/>
  <c r="E27" i="2"/>
  <c r="E26" i="2"/>
  <c r="E25" i="2"/>
  <c r="E24" i="2"/>
  <c r="E22" i="2"/>
  <c r="R22" i="2" s="1"/>
  <c r="E23" i="2"/>
  <c r="R48" i="2" l="1"/>
  <c r="H48" i="2"/>
  <c r="R27" i="2"/>
  <c r="H27" i="2"/>
  <c r="G31" i="2"/>
  <c r="H31" i="2"/>
  <c r="R53" i="2"/>
  <c r="H52" i="2"/>
  <c r="R24" i="2"/>
  <c r="H24" i="2"/>
  <c r="R28" i="2"/>
  <c r="H28" i="2"/>
  <c r="R49" i="2"/>
  <c r="H49" i="2"/>
  <c r="R54" i="2"/>
  <c r="H53" i="2"/>
  <c r="G25" i="2"/>
  <c r="H25" i="2"/>
  <c r="G29" i="2"/>
  <c r="H29" i="2"/>
  <c r="R46" i="2"/>
  <c r="H46" i="2"/>
  <c r="R51" i="2"/>
  <c r="H50" i="2"/>
  <c r="R23" i="2"/>
  <c r="H23" i="2"/>
  <c r="R26" i="2"/>
  <c r="H26" i="2"/>
  <c r="R30" i="2"/>
  <c r="H30" i="2"/>
  <c r="R52" i="2"/>
  <c r="H51" i="2"/>
  <c r="G55" i="10"/>
  <c r="H140" i="10"/>
  <c r="G142" i="10"/>
  <c r="G141" i="10"/>
  <c r="G145" i="10"/>
  <c r="O85" i="5"/>
  <c r="M107" i="8"/>
  <c r="E24" i="8" s="1"/>
  <c r="G28" i="2"/>
  <c r="G23" i="2"/>
  <c r="R31" i="2"/>
  <c r="G27" i="2"/>
  <c r="G26" i="2"/>
  <c r="G24" i="2"/>
  <c r="R29" i="2"/>
  <c r="G30" i="2"/>
  <c r="R25" i="2"/>
  <c r="G22" i="2"/>
  <c r="R50" i="2"/>
  <c r="F23" i="8" l="1"/>
  <c r="G24" i="8" l="1"/>
  <c r="H24" i="8"/>
  <c r="N24" i="8"/>
  <c r="R45" i="2" l="1"/>
  <c r="R47" i="2"/>
  <c r="E33" i="2"/>
  <c r="H29" i="4"/>
  <c r="H27" i="4"/>
  <c r="H88" i="10"/>
  <c r="H23" i="4" l="1"/>
  <c r="H97" i="10" l="1"/>
  <c r="H96" i="10" s="1"/>
  <c r="H114" i="10"/>
  <c r="G114" i="10"/>
  <c r="H113" i="10"/>
  <c r="G113" i="10"/>
  <c r="H112" i="10"/>
  <c r="G112" i="10"/>
  <c r="H111" i="10"/>
  <c r="G111" i="10"/>
  <c r="H110" i="10"/>
  <c r="G110" i="10"/>
  <c r="H109" i="10"/>
  <c r="G109" i="10"/>
  <c r="H108" i="10"/>
  <c r="G108" i="10"/>
  <c r="G106" i="10"/>
  <c r="G105" i="10"/>
  <c r="G104" i="10"/>
  <c r="G103" i="10"/>
  <c r="G102" i="10"/>
  <c r="G101" i="10"/>
  <c r="G100" i="10"/>
  <c r="H134" i="10"/>
  <c r="H135" i="10"/>
  <c r="G135" i="10"/>
  <c r="G137" i="10"/>
  <c r="H137" i="10"/>
  <c r="G138" i="10"/>
  <c r="H138" i="10"/>
  <c r="E46" i="11"/>
  <c r="H46" i="11" s="1"/>
  <c r="E45" i="11"/>
  <c r="H45" i="11" s="1"/>
  <c r="E44" i="11"/>
  <c r="H44" i="11" s="1"/>
  <c r="E43" i="11"/>
  <c r="H43" i="11" s="1"/>
  <c r="E42" i="11"/>
  <c r="H42" i="11" s="1"/>
  <c r="E41" i="11"/>
  <c r="H41" i="11" s="1"/>
  <c r="E40" i="11"/>
  <c r="H40" i="11" s="1"/>
  <c r="E39" i="11"/>
  <c r="H39" i="11" s="1"/>
  <c r="E38" i="11"/>
  <c r="H38" i="11" s="1"/>
  <c r="E37" i="11"/>
  <c r="H37" i="11" s="1"/>
  <c r="E36" i="11"/>
  <c r="H36" i="11" s="1"/>
  <c r="E35" i="11"/>
  <c r="H35" i="11" s="1"/>
  <c r="E34" i="11"/>
  <c r="H34" i="11" s="1"/>
  <c r="E33" i="11"/>
  <c r="H33" i="11" s="1"/>
  <c r="E32" i="11"/>
  <c r="H32" i="11" s="1"/>
  <c r="E31" i="11"/>
  <c r="H31" i="11" s="1"/>
  <c r="E30" i="11"/>
  <c r="H107" i="10" l="1"/>
  <c r="H136" i="10"/>
  <c r="H100" i="10"/>
  <c r="H133" i="10"/>
  <c r="G134" i="10"/>
  <c r="G97" i="10"/>
  <c r="H99" i="10" l="1"/>
  <c r="M96" i="2"/>
  <c r="M97" i="2"/>
  <c r="M98" i="2"/>
  <c r="M99" i="2"/>
  <c r="M100" i="2"/>
  <c r="M101" i="2"/>
  <c r="M102" i="2"/>
  <c r="M103" i="2"/>
  <c r="M104" i="2"/>
  <c r="M105" i="2"/>
  <c r="M106" i="2"/>
  <c r="M107" i="2"/>
  <c r="M109" i="2"/>
  <c r="M110" i="2"/>
  <c r="M111" i="2"/>
  <c r="M112" i="2"/>
  <c r="M113" i="2"/>
  <c r="M114" i="2"/>
  <c r="M115" i="2"/>
  <c r="M116" i="2"/>
  <c r="M117" i="2"/>
  <c r="M118" i="2"/>
  <c r="M119" i="2"/>
  <c r="L96" i="2"/>
  <c r="L97" i="2"/>
  <c r="L98" i="2"/>
  <c r="L99" i="2"/>
  <c r="L100" i="2"/>
  <c r="L101" i="2"/>
  <c r="L102" i="2"/>
  <c r="L103" i="2"/>
  <c r="L104" i="2"/>
  <c r="L105" i="2"/>
  <c r="L106" i="2"/>
  <c r="L107" i="2"/>
  <c r="L109" i="2"/>
  <c r="L110" i="2"/>
  <c r="L111" i="2"/>
  <c r="L112" i="2"/>
  <c r="L113" i="2"/>
  <c r="L114" i="2"/>
  <c r="L115" i="2"/>
  <c r="L116" i="2"/>
  <c r="L117" i="2"/>
  <c r="L118" i="2"/>
  <c r="L119" i="2"/>
  <c r="M120" i="2" l="1"/>
  <c r="L95" i="2"/>
  <c r="L120" i="2" s="1"/>
  <c r="Y120" i="2" l="1"/>
  <c r="E59" i="2" s="1"/>
  <c r="H59" i="2" s="1"/>
  <c r="Y103" i="11"/>
  <c r="U103" i="11"/>
  <c r="Y102" i="11"/>
  <c r="U102" i="11"/>
  <c r="Y101" i="11"/>
  <c r="U101" i="11"/>
  <c r="Y100" i="11"/>
  <c r="U100" i="11"/>
  <c r="Y99" i="11"/>
  <c r="U99" i="11"/>
  <c r="Y98" i="11"/>
  <c r="U98" i="11"/>
  <c r="Y97" i="11"/>
  <c r="U97" i="11"/>
  <c r="Y96" i="11"/>
  <c r="U96" i="11"/>
  <c r="R96" i="11"/>
  <c r="Y95" i="11"/>
  <c r="U95" i="11"/>
  <c r="Y94" i="11"/>
  <c r="U94" i="11"/>
  <c r="Y93" i="11"/>
  <c r="U93" i="11"/>
  <c r="Y92" i="11"/>
  <c r="U92" i="11"/>
  <c r="Y91" i="11"/>
  <c r="U91" i="11"/>
  <c r="U90" i="11"/>
  <c r="Y89" i="11"/>
  <c r="U89" i="11"/>
  <c r="Y88" i="11"/>
  <c r="U88" i="11"/>
  <c r="Y87" i="11"/>
  <c r="U87" i="11"/>
  <c r="Y86" i="11"/>
  <c r="U86" i="11"/>
  <c r="Y85" i="11"/>
  <c r="U85" i="11"/>
  <c r="Y84" i="11"/>
  <c r="U84" i="11"/>
  <c r="R84" i="11"/>
  <c r="Y83" i="11"/>
  <c r="U83" i="11"/>
  <c r="Y82" i="11"/>
  <c r="U82" i="11"/>
  <c r="Y81" i="11"/>
  <c r="U81" i="11"/>
  <c r="Y80" i="11"/>
  <c r="U80" i="11"/>
  <c r="Y79" i="11"/>
  <c r="U79" i="11"/>
  <c r="Y78" i="11"/>
  <c r="U78" i="11"/>
  <c r="Y77" i="11"/>
  <c r="U77" i="11"/>
  <c r="M46" i="11"/>
  <c r="M45" i="11"/>
  <c r="M44" i="11"/>
  <c r="L43" i="11"/>
  <c r="M42" i="11"/>
  <c r="M41" i="11"/>
  <c r="M40" i="11"/>
  <c r="L39" i="11"/>
  <c r="M38" i="11"/>
  <c r="G37" i="11"/>
  <c r="M36" i="11"/>
  <c r="L35" i="11"/>
  <c r="M34" i="11"/>
  <c r="M33" i="11"/>
  <c r="L32" i="11"/>
  <c r="M32" i="11"/>
  <c r="L31" i="11"/>
  <c r="M30" i="11"/>
  <c r="T104" i="11" l="1"/>
  <c r="G29" i="11" s="1"/>
  <c r="G59" i="2"/>
  <c r="E60" i="2"/>
  <c r="H60" i="2" s="1"/>
  <c r="E62" i="2"/>
  <c r="H62" i="2" s="1"/>
  <c r="E56" i="2"/>
  <c r="G56" i="2" s="1"/>
  <c r="E58" i="2"/>
  <c r="H58" i="2" s="1"/>
  <c r="E57" i="2"/>
  <c r="H57" i="2" s="1"/>
  <c r="E61" i="2"/>
  <c r="H61" i="2" s="1"/>
  <c r="G36" i="11"/>
  <c r="L40" i="11"/>
  <c r="G45" i="11"/>
  <c r="G44" i="11"/>
  <c r="M37" i="11"/>
  <c r="G34" i="11"/>
  <c r="G42" i="11"/>
  <c r="G32" i="11"/>
  <c r="G33" i="11"/>
  <c r="L36" i="11"/>
  <c r="G40" i="11"/>
  <c r="G41" i="11"/>
  <c r="L44" i="11"/>
  <c r="Y104" i="11"/>
  <c r="G38" i="11"/>
  <c r="G46" i="11"/>
  <c r="G30" i="11"/>
  <c r="M35" i="11"/>
  <c r="H30" i="11"/>
  <c r="G31" i="11"/>
  <c r="L33" i="11"/>
  <c r="G35" i="11"/>
  <c r="L37" i="11"/>
  <c r="G39" i="11"/>
  <c r="L41" i="11"/>
  <c r="G43" i="11"/>
  <c r="L45" i="11"/>
  <c r="M31" i="11"/>
  <c r="M39" i="11"/>
  <c r="M43" i="11"/>
  <c r="L30" i="11"/>
  <c r="L34" i="11"/>
  <c r="L38" i="11"/>
  <c r="L42" i="11"/>
  <c r="L46" i="11"/>
  <c r="E55" i="11" l="1"/>
  <c r="E56" i="11"/>
  <c r="G62" i="2"/>
  <c r="G57" i="2"/>
  <c r="G60" i="2"/>
  <c r="G58" i="2"/>
  <c r="H29" i="11"/>
  <c r="G56" i="11" l="1"/>
  <c r="H56" i="11"/>
  <c r="G55" i="11"/>
  <c r="H55" i="11"/>
  <c r="L68" i="3"/>
  <c r="G20" i="10"/>
  <c r="G21" i="10"/>
  <c r="G22" i="10"/>
  <c r="G23" i="10"/>
  <c r="G24" i="10"/>
  <c r="G25" i="10"/>
  <c r="G26" i="10"/>
  <c r="G27" i="10"/>
  <c r="G28" i="10"/>
  <c r="G19" i="10"/>
  <c r="G89" i="10"/>
  <c r="G90" i="10"/>
  <c r="G91" i="10"/>
  <c r="G92" i="10"/>
  <c r="G93" i="10"/>
  <c r="G94" i="10"/>
  <c r="G95" i="10"/>
  <c r="G88" i="10"/>
  <c r="G147" i="10"/>
  <c r="K104" i="11"/>
  <c r="P103" i="11"/>
  <c r="L103" i="11"/>
  <c r="P102" i="11"/>
  <c r="L102" i="11"/>
  <c r="P101" i="11"/>
  <c r="L101" i="11"/>
  <c r="P100" i="11"/>
  <c r="L100" i="11"/>
  <c r="P99" i="11"/>
  <c r="L99" i="11"/>
  <c r="P98" i="11"/>
  <c r="L98" i="11"/>
  <c r="I98" i="11"/>
  <c r="P97" i="11"/>
  <c r="L97" i="11"/>
  <c r="P96" i="11"/>
  <c r="L96" i="11"/>
  <c r="P95" i="11"/>
  <c r="L95" i="11"/>
  <c r="P94" i="11"/>
  <c r="L94" i="11"/>
  <c r="P93" i="11"/>
  <c r="L93" i="11"/>
  <c r="P92" i="11"/>
  <c r="L92" i="11"/>
  <c r="P91" i="11"/>
  <c r="L91" i="11"/>
  <c r="P89" i="11"/>
  <c r="L89" i="11"/>
  <c r="P88" i="11"/>
  <c r="L88" i="11"/>
  <c r="P87" i="11"/>
  <c r="L87" i="11"/>
  <c r="P86" i="11"/>
  <c r="L86" i="11"/>
  <c r="P85" i="11"/>
  <c r="L85" i="11"/>
  <c r="P84" i="11"/>
  <c r="L84" i="11"/>
  <c r="I84" i="11"/>
  <c r="P83" i="11"/>
  <c r="L83" i="11"/>
  <c r="P82" i="11"/>
  <c r="L82" i="11"/>
  <c r="P81" i="11"/>
  <c r="L81" i="11"/>
  <c r="P80" i="11"/>
  <c r="L80" i="11"/>
  <c r="P79" i="11"/>
  <c r="L79" i="11"/>
  <c r="P78" i="11"/>
  <c r="L78" i="11"/>
  <c r="P77" i="11"/>
  <c r="L77" i="11"/>
  <c r="E28" i="11"/>
  <c r="H28" i="11" s="1"/>
  <c r="E27" i="11"/>
  <c r="H27" i="11" s="1"/>
  <c r="E26" i="11"/>
  <c r="H26" i="11" s="1"/>
  <c r="E25" i="11"/>
  <c r="H25" i="11" s="1"/>
  <c r="E24" i="11"/>
  <c r="H24" i="11" s="1"/>
  <c r="E23" i="11"/>
  <c r="H23" i="11" s="1"/>
  <c r="E22" i="11"/>
  <c r="G11" i="11" l="1"/>
  <c r="G18" i="11"/>
  <c r="E19" i="11"/>
  <c r="E20" i="11"/>
  <c r="G25" i="11"/>
  <c r="M25" i="11"/>
  <c r="G22" i="11"/>
  <c r="M22" i="11"/>
  <c r="G26" i="11"/>
  <c r="M26" i="11"/>
  <c r="G23" i="11"/>
  <c r="M23" i="11"/>
  <c r="G27" i="11"/>
  <c r="M27" i="11"/>
  <c r="G24" i="11"/>
  <c r="M24" i="11"/>
  <c r="G28" i="11"/>
  <c r="M28" i="11"/>
  <c r="H87" i="10"/>
  <c r="H22" i="11"/>
  <c r="P104" i="11"/>
  <c r="G19" i="11"/>
  <c r="H19" i="11"/>
  <c r="G61" i="2"/>
  <c r="H22" i="2"/>
  <c r="E34" i="2"/>
  <c r="H34" i="2" s="1"/>
  <c r="E35" i="2"/>
  <c r="H35" i="2" s="1"/>
  <c r="E36" i="2"/>
  <c r="H36" i="2" s="1"/>
  <c r="E37" i="2"/>
  <c r="H37" i="2" s="1"/>
  <c r="E38" i="2"/>
  <c r="H38" i="2" s="1"/>
  <c r="E39" i="2"/>
  <c r="H39" i="2" s="1"/>
  <c r="E40" i="2"/>
  <c r="H40" i="2" s="1"/>
  <c r="E41" i="2"/>
  <c r="H41" i="2" s="1"/>
  <c r="E42" i="2"/>
  <c r="H42" i="2" s="1"/>
  <c r="H20" i="11" l="1"/>
  <c r="H18" i="11" s="1"/>
  <c r="G20" i="11"/>
  <c r="E48" i="11"/>
  <c r="E49" i="11"/>
  <c r="H49" i="11" s="1"/>
  <c r="E50" i="11"/>
  <c r="H50" i="11" s="1"/>
  <c r="E52" i="11"/>
  <c r="H52" i="11" s="1"/>
  <c r="E53" i="11"/>
  <c r="H53" i="11" s="1"/>
  <c r="D64" i="11"/>
  <c r="E51" i="11"/>
  <c r="H51" i="11" s="1"/>
  <c r="G41" i="2"/>
  <c r="R41" i="2"/>
  <c r="G33" i="2"/>
  <c r="R33" i="2"/>
  <c r="G36" i="2"/>
  <c r="R36" i="2"/>
  <c r="G39" i="2"/>
  <c r="R39" i="2"/>
  <c r="G35" i="2"/>
  <c r="R35" i="2"/>
  <c r="G37" i="2"/>
  <c r="R37" i="2"/>
  <c r="G40" i="2"/>
  <c r="R40" i="2"/>
  <c r="R42" i="2"/>
  <c r="R38" i="2"/>
  <c r="R34" i="2"/>
  <c r="H21" i="11"/>
  <c r="H21" i="2"/>
  <c r="G42" i="2"/>
  <c r="G38" i="2"/>
  <c r="G34" i="2"/>
  <c r="H33" i="2"/>
  <c r="G51" i="11" l="1"/>
  <c r="H48" i="11"/>
  <c r="H47" i="11" s="1"/>
  <c r="G48" i="11"/>
  <c r="G49" i="11"/>
  <c r="G50" i="11"/>
  <c r="G52" i="11"/>
  <c r="G53" i="11"/>
  <c r="L77" i="7"/>
  <c r="M77" i="7" s="1"/>
  <c r="N77" i="7" s="1"/>
  <c r="L78" i="7"/>
  <c r="M78" i="7" s="1"/>
  <c r="N78" i="7" s="1"/>
  <c r="O76" i="7"/>
  <c r="O77" i="7"/>
  <c r="O78" i="7"/>
  <c r="I71" i="7"/>
  <c r="I65" i="6"/>
  <c r="I79" i="6"/>
  <c r="L72" i="6"/>
  <c r="L83" i="6"/>
  <c r="L84" i="6"/>
  <c r="P73" i="6"/>
  <c r="P74" i="6"/>
  <c r="P75" i="6"/>
  <c r="P76" i="6"/>
  <c r="P77" i="6"/>
  <c r="P78" i="6"/>
  <c r="P79" i="6"/>
  <c r="P80" i="6"/>
  <c r="P81" i="6"/>
  <c r="P82" i="6"/>
  <c r="P83" i="6"/>
  <c r="P84" i="6"/>
  <c r="P72" i="6"/>
  <c r="P59" i="6"/>
  <c r="P60" i="6"/>
  <c r="P61" i="6"/>
  <c r="P62" i="6"/>
  <c r="P63" i="6"/>
  <c r="P64" i="6"/>
  <c r="P65" i="6"/>
  <c r="P66" i="6"/>
  <c r="P67" i="6"/>
  <c r="P68" i="6"/>
  <c r="P69" i="6"/>
  <c r="P70" i="6"/>
  <c r="N106" i="8"/>
  <c r="N61" i="5"/>
  <c r="N63" i="5"/>
  <c r="N64" i="5"/>
  <c r="N65" i="5"/>
  <c r="N66" i="5"/>
  <c r="N68" i="5"/>
  <c r="N69" i="5"/>
  <c r="N70" i="5"/>
  <c r="N71" i="5"/>
  <c r="N74" i="5"/>
  <c r="N75" i="5"/>
  <c r="N77" i="5"/>
  <c r="N78" i="5"/>
  <c r="N80" i="5"/>
  <c r="N81" i="5"/>
  <c r="N82" i="5"/>
  <c r="N84" i="5"/>
  <c r="N73" i="5"/>
  <c r="Y96" i="9"/>
  <c r="Y97" i="9"/>
  <c r="Y98" i="9"/>
  <c r="Y99" i="9"/>
  <c r="Y100" i="9"/>
  <c r="Y101" i="9"/>
  <c r="Y102" i="9"/>
  <c r="Y103" i="9"/>
  <c r="Y104" i="9"/>
  <c r="Y105" i="9"/>
  <c r="Y106" i="9"/>
  <c r="Y107" i="9"/>
  <c r="Y82" i="9"/>
  <c r="Y83" i="9"/>
  <c r="Y84" i="9"/>
  <c r="Y85" i="9"/>
  <c r="Y86" i="9"/>
  <c r="Y87" i="9"/>
  <c r="Y88" i="9"/>
  <c r="Y89" i="9"/>
  <c r="Y90" i="9"/>
  <c r="Y91" i="9"/>
  <c r="Y92" i="9"/>
  <c r="Y93" i="9"/>
  <c r="P96" i="9"/>
  <c r="P97" i="9"/>
  <c r="P98" i="9"/>
  <c r="P99" i="9"/>
  <c r="P100" i="9"/>
  <c r="P101" i="9"/>
  <c r="P102" i="9"/>
  <c r="P103" i="9"/>
  <c r="P104" i="9"/>
  <c r="P105" i="9"/>
  <c r="P106" i="9"/>
  <c r="P107" i="9"/>
  <c r="P82" i="9"/>
  <c r="P83" i="9"/>
  <c r="P84" i="9"/>
  <c r="P85" i="9"/>
  <c r="P86" i="9"/>
  <c r="P87" i="9"/>
  <c r="P88" i="9"/>
  <c r="P89" i="9"/>
  <c r="P90" i="9"/>
  <c r="P91" i="9"/>
  <c r="P92" i="9"/>
  <c r="P93" i="9"/>
  <c r="Y95" i="9"/>
  <c r="Y81" i="9"/>
  <c r="P95" i="9"/>
  <c r="P81" i="9"/>
  <c r="P74" i="4"/>
  <c r="P75" i="4"/>
  <c r="P76" i="4"/>
  <c r="P77" i="4"/>
  <c r="P78" i="4"/>
  <c r="P79" i="4"/>
  <c r="P80" i="4"/>
  <c r="P81" i="4"/>
  <c r="P82" i="4"/>
  <c r="P83" i="4"/>
  <c r="P84" i="4"/>
  <c r="P85" i="4"/>
  <c r="P60" i="4"/>
  <c r="P61" i="4"/>
  <c r="P62" i="4"/>
  <c r="P63" i="4"/>
  <c r="P64" i="4"/>
  <c r="P65" i="4"/>
  <c r="P66" i="4"/>
  <c r="P67" i="4"/>
  <c r="P68" i="4"/>
  <c r="P69" i="4"/>
  <c r="P70" i="4"/>
  <c r="P71" i="4"/>
  <c r="P73" i="4"/>
  <c r="P59" i="4"/>
  <c r="P83" i="3"/>
  <c r="P84" i="3"/>
  <c r="P85" i="3"/>
  <c r="P86" i="3"/>
  <c r="P87" i="3"/>
  <c r="P88" i="3"/>
  <c r="P89" i="3"/>
  <c r="P90" i="3"/>
  <c r="P91" i="3"/>
  <c r="P92" i="3"/>
  <c r="P93" i="3"/>
  <c r="P94" i="3"/>
  <c r="P69" i="3"/>
  <c r="P70" i="3"/>
  <c r="P71" i="3"/>
  <c r="P72" i="3"/>
  <c r="P73" i="3"/>
  <c r="P74" i="3"/>
  <c r="P75" i="3"/>
  <c r="P76" i="3"/>
  <c r="P77" i="3"/>
  <c r="P78" i="3"/>
  <c r="P79" i="3"/>
  <c r="P80" i="3"/>
  <c r="P82" i="3"/>
  <c r="P68" i="3"/>
  <c r="P58" i="6"/>
  <c r="V95" i="8"/>
  <c r="V96" i="8"/>
  <c r="V97" i="8"/>
  <c r="V98" i="8"/>
  <c r="V99" i="8"/>
  <c r="V100" i="8"/>
  <c r="V101" i="8"/>
  <c r="V102" i="8"/>
  <c r="V103" i="8"/>
  <c r="V104" i="8"/>
  <c r="V105" i="8"/>
  <c r="V106" i="8"/>
  <c r="V94" i="8"/>
  <c r="V80" i="8"/>
  <c r="V81" i="8"/>
  <c r="V82" i="8"/>
  <c r="V83" i="8"/>
  <c r="V84" i="8"/>
  <c r="V85" i="8"/>
  <c r="V86" i="8"/>
  <c r="V87" i="8"/>
  <c r="V88" i="8"/>
  <c r="V89" i="8"/>
  <c r="V90" i="8"/>
  <c r="V91" i="8"/>
  <c r="V92" i="8"/>
  <c r="I99" i="8"/>
  <c r="O99" i="8"/>
  <c r="R106" i="8"/>
  <c r="R105" i="8"/>
  <c r="N105" i="8"/>
  <c r="I78" i="5"/>
  <c r="I87" i="3"/>
  <c r="L94" i="3"/>
  <c r="L93" i="3"/>
  <c r="U107" i="9"/>
  <c r="I100" i="9"/>
  <c r="U106" i="9"/>
  <c r="L107" i="9"/>
  <c r="I78" i="4"/>
  <c r="G57" i="11" l="1"/>
  <c r="G58" i="11" s="1"/>
  <c r="G59" i="11" s="1"/>
  <c r="Y108" i="9"/>
  <c r="P108" i="9"/>
  <c r="P86" i="4"/>
  <c r="P95" i="3"/>
  <c r="E36" i="4" l="1"/>
  <c r="E32" i="4"/>
  <c r="E35" i="4"/>
  <c r="E34" i="4"/>
  <c r="E31" i="4"/>
  <c r="E33" i="4"/>
  <c r="E54" i="9"/>
  <c r="H54" i="9" s="1"/>
  <c r="E50" i="9"/>
  <c r="H50" i="9" s="1"/>
  <c r="E53" i="9"/>
  <c r="H53" i="9" s="1"/>
  <c r="E49" i="9"/>
  <c r="E52" i="9"/>
  <c r="H52" i="9" s="1"/>
  <c r="E51" i="9"/>
  <c r="H51" i="9" s="1"/>
  <c r="E40" i="3"/>
  <c r="E42" i="3"/>
  <c r="E43" i="3"/>
  <c r="E39" i="3"/>
  <c r="E38" i="3"/>
  <c r="E41" i="3"/>
  <c r="G51" i="10"/>
  <c r="G50" i="10"/>
  <c r="G49" i="10"/>
  <c r="G48" i="10"/>
  <c r="G47" i="10"/>
  <c r="G46" i="10"/>
  <c r="G45" i="10"/>
  <c r="G44" i="10"/>
  <c r="G43" i="10"/>
  <c r="H42" i="10"/>
  <c r="G42" i="10"/>
  <c r="G148" i="10"/>
  <c r="G149" i="10"/>
  <c r="G150" i="10"/>
  <c r="G60" i="10"/>
  <c r="G85" i="10"/>
  <c r="G84" i="10"/>
  <c r="G83" i="10"/>
  <c r="G81" i="10"/>
  <c r="G80" i="10"/>
  <c r="H77" i="10"/>
  <c r="G77" i="10"/>
  <c r="G75" i="10"/>
  <c r="G74" i="10"/>
  <c r="G73" i="10"/>
  <c r="G72" i="10"/>
  <c r="G71" i="10"/>
  <c r="G70" i="10"/>
  <c r="G69" i="10"/>
  <c r="G68" i="10"/>
  <c r="G67" i="10"/>
  <c r="G66" i="10"/>
  <c r="G65" i="10"/>
  <c r="G64" i="10"/>
  <c r="G63" i="10"/>
  <c r="G62" i="10"/>
  <c r="G61" i="10"/>
  <c r="G59" i="10"/>
  <c r="M54" i="7"/>
  <c r="N54" i="7" s="1"/>
  <c r="M52" i="7"/>
  <c r="M53" i="7"/>
  <c r="N53" i="7" s="1"/>
  <c r="M55" i="7"/>
  <c r="N55" i="7" s="1"/>
  <c r="M56" i="7"/>
  <c r="N56" i="7" s="1"/>
  <c r="M57" i="7"/>
  <c r="N57" i="7" s="1"/>
  <c r="M58" i="7"/>
  <c r="N58" i="7" s="1"/>
  <c r="M59" i="7"/>
  <c r="N59" i="7" s="1"/>
  <c r="M60" i="7"/>
  <c r="N60" i="7" s="1"/>
  <c r="M61" i="7"/>
  <c r="N61" i="7" s="1"/>
  <c r="M62" i="7"/>
  <c r="N62" i="7" s="1"/>
  <c r="M63" i="7"/>
  <c r="N63" i="7" s="1"/>
  <c r="M64" i="7"/>
  <c r="N64" i="7" s="1"/>
  <c r="L65" i="7"/>
  <c r="M65" i="7" s="1"/>
  <c r="N65" i="7" s="1"/>
  <c r="L66" i="7"/>
  <c r="M66" i="7" s="1"/>
  <c r="N66" i="7" s="1"/>
  <c r="L67" i="7"/>
  <c r="M67" i="7" s="1"/>
  <c r="N67" i="7" s="1"/>
  <c r="L68" i="7"/>
  <c r="M68" i="7" s="1"/>
  <c r="N68" i="7" s="1"/>
  <c r="L69" i="7"/>
  <c r="M69" i="7" s="1"/>
  <c r="N69" i="7" s="1"/>
  <c r="L70" i="7"/>
  <c r="M70" i="7" s="1"/>
  <c r="N70" i="7" s="1"/>
  <c r="L71" i="7"/>
  <c r="M71" i="7" s="1"/>
  <c r="N71" i="7" s="1"/>
  <c r="L72" i="7"/>
  <c r="M72" i="7" s="1"/>
  <c r="N72" i="7" s="1"/>
  <c r="L73" i="7"/>
  <c r="M73" i="7" s="1"/>
  <c r="N73" i="7" s="1"/>
  <c r="L74" i="7"/>
  <c r="M74" i="7" s="1"/>
  <c r="N74" i="7" s="1"/>
  <c r="L75" i="7"/>
  <c r="M75" i="7" s="1"/>
  <c r="N75" i="7" s="1"/>
  <c r="L76" i="7"/>
  <c r="M76" i="7" s="1"/>
  <c r="N76" i="7" s="1"/>
  <c r="O75" i="7"/>
  <c r="O74" i="7"/>
  <c r="O73" i="7"/>
  <c r="O72" i="7"/>
  <c r="O71" i="7"/>
  <c r="O70" i="7"/>
  <c r="O69" i="7"/>
  <c r="O68" i="7"/>
  <c r="O67" i="7"/>
  <c r="O66" i="7"/>
  <c r="O64" i="7"/>
  <c r="O63" i="7"/>
  <c r="O62" i="7"/>
  <c r="O61" i="7"/>
  <c r="O60" i="7"/>
  <c r="O59" i="7"/>
  <c r="I59" i="7"/>
  <c r="O58" i="7"/>
  <c r="O57" i="7"/>
  <c r="O56" i="7"/>
  <c r="O55" i="7"/>
  <c r="O54" i="7"/>
  <c r="O53" i="7"/>
  <c r="O52" i="7"/>
  <c r="N82" i="8"/>
  <c r="N83" i="8"/>
  <c r="N84" i="8"/>
  <c r="N85" i="8"/>
  <c r="N86" i="8"/>
  <c r="N87" i="8"/>
  <c r="N88" i="8"/>
  <c r="N89" i="8"/>
  <c r="N90" i="8"/>
  <c r="N91" i="8"/>
  <c r="N92" i="8"/>
  <c r="N94" i="8"/>
  <c r="N95" i="8"/>
  <c r="N96" i="8"/>
  <c r="N97" i="8"/>
  <c r="N98" i="8"/>
  <c r="N99" i="8"/>
  <c r="N100" i="8"/>
  <c r="N101" i="8"/>
  <c r="N102" i="8"/>
  <c r="N103" i="8"/>
  <c r="N104" i="8"/>
  <c r="E28" i="6"/>
  <c r="E27" i="6"/>
  <c r="E26" i="6"/>
  <c r="E25" i="6"/>
  <c r="E24" i="6"/>
  <c r="E23" i="6"/>
  <c r="E22" i="6"/>
  <c r="M22" i="6" s="1"/>
  <c r="L59" i="6"/>
  <c r="L60" i="6"/>
  <c r="L61" i="6"/>
  <c r="L62" i="6"/>
  <c r="L63" i="6"/>
  <c r="L64" i="6"/>
  <c r="L65" i="6"/>
  <c r="L66" i="6"/>
  <c r="L67" i="6"/>
  <c r="L68" i="6"/>
  <c r="L69" i="6"/>
  <c r="L70" i="6"/>
  <c r="L73" i="6"/>
  <c r="L74" i="6"/>
  <c r="L75" i="6"/>
  <c r="L76" i="6"/>
  <c r="L77" i="6"/>
  <c r="L78" i="6"/>
  <c r="L79" i="6"/>
  <c r="L80" i="6"/>
  <c r="L81" i="6"/>
  <c r="L82" i="6"/>
  <c r="L58" i="6"/>
  <c r="N28" i="8"/>
  <c r="M24" i="6" l="1"/>
  <c r="H24" i="6"/>
  <c r="M25" i="6"/>
  <c r="H25" i="6"/>
  <c r="M26" i="6"/>
  <c r="H26" i="6"/>
  <c r="M27" i="6"/>
  <c r="H27" i="6"/>
  <c r="M28" i="6"/>
  <c r="H28" i="6"/>
  <c r="M23" i="6"/>
  <c r="D45" i="6" s="1"/>
  <c r="H23" i="6"/>
  <c r="H35" i="4"/>
  <c r="G35" i="4"/>
  <c r="H34" i="4"/>
  <c r="G34" i="4"/>
  <c r="H33" i="4"/>
  <c r="G33" i="4"/>
  <c r="H32" i="4"/>
  <c r="G32" i="4"/>
  <c r="G31" i="4"/>
  <c r="H31" i="4"/>
  <c r="H36" i="4"/>
  <c r="G36" i="4"/>
  <c r="N29" i="8"/>
  <c r="H29" i="8"/>
  <c r="N33" i="8"/>
  <c r="H33" i="8"/>
  <c r="N37" i="8"/>
  <c r="H37" i="8"/>
  <c r="N41" i="8"/>
  <c r="H41" i="8"/>
  <c r="N30" i="8"/>
  <c r="H30" i="8"/>
  <c r="N34" i="8"/>
  <c r="H34" i="8"/>
  <c r="N38" i="8"/>
  <c r="H38" i="8"/>
  <c r="N42" i="8"/>
  <c r="H42" i="8"/>
  <c r="N31" i="8"/>
  <c r="H31" i="8"/>
  <c r="N35" i="8"/>
  <c r="H35" i="8"/>
  <c r="N39" i="8"/>
  <c r="H39" i="8"/>
  <c r="N43" i="8"/>
  <c r="H43" i="8"/>
  <c r="N32" i="8"/>
  <c r="H32" i="8"/>
  <c r="N36" i="8"/>
  <c r="H36" i="8"/>
  <c r="N40" i="8"/>
  <c r="H40" i="8"/>
  <c r="N44" i="8"/>
  <c r="H44" i="8"/>
  <c r="H139" i="10"/>
  <c r="G53" i="9"/>
  <c r="G51" i="9"/>
  <c r="G50" i="9"/>
  <c r="H49" i="9"/>
  <c r="G49" i="9"/>
  <c r="G52" i="9"/>
  <c r="G54" i="9"/>
  <c r="G39" i="3"/>
  <c r="H39" i="3"/>
  <c r="H42" i="3"/>
  <c r="G42" i="3"/>
  <c r="H43" i="3"/>
  <c r="G43" i="3"/>
  <c r="H41" i="3"/>
  <c r="G41" i="3"/>
  <c r="H40" i="3"/>
  <c r="G40" i="3"/>
  <c r="N52" i="7"/>
  <c r="N79" i="7" s="1"/>
  <c r="M79" i="7"/>
  <c r="O79" i="7"/>
  <c r="H41" i="10"/>
  <c r="G79" i="10"/>
  <c r="G78" i="10"/>
  <c r="G82" i="10"/>
  <c r="H76" i="10"/>
  <c r="G86" i="10"/>
  <c r="K79" i="7"/>
  <c r="P85" i="6"/>
  <c r="R104" i="8"/>
  <c r="R103" i="8"/>
  <c r="R102" i="8"/>
  <c r="R101" i="8"/>
  <c r="R100" i="8"/>
  <c r="R99" i="8"/>
  <c r="R98" i="8"/>
  <c r="R97" i="8"/>
  <c r="R96" i="8"/>
  <c r="R95" i="8"/>
  <c r="R94" i="8"/>
  <c r="R93" i="8"/>
  <c r="R92" i="8"/>
  <c r="R91" i="8"/>
  <c r="R90" i="8"/>
  <c r="R89" i="8"/>
  <c r="R88" i="8"/>
  <c r="R87" i="8"/>
  <c r="O87" i="8"/>
  <c r="Q107" i="8" s="1"/>
  <c r="E56" i="8" s="1"/>
  <c r="H56" i="8" s="1"/>
  <c r="R86" i="8"/>
  <c r="R85" i="8"/>
  <c r="R84" i="8"/>
  <c r="R83" i="8"/>
  <c r="R82" i="8"/>
  <c r="R81" i="8"/>
  <c r="R80" i="8"/>
  <c r="I87" i="8"/>
  <c r="N81" i="8"/>
  <c r="H59" i="10"/>
  <c r="H53" i="10"/>
  <c r="H52" i="10" s="1"/>
  <c r="G53" i="10"/>
  <c r="E29" i="7" l="1"/>
  <c r="E25" i="7"/>
  <c r="E28" i="7"/>
  <c r="E27" i="7"/>
  <c r="E30" i="7"/>
  <c r="E26" i="7"/>
  <c r="E35" i="6"/>
  <c r="H35" i="6" s="1"/>
  <c r="E31" i="6"/>
  <c r="H31" i="6" s="1"/>
  <c r="E34" i="6"/>
  <c r="H34" i="6" s="1"/>
  <c r="E30" i="6"/>
  <c r="E33" i="6"/>
  <c r="H33" i="6" s="1"/>
  <c r="E32" i="6"/>
  <c r="H32" i="6" s="1"/>
  <c r="G56" i="8"/>
  <c r="F27" i="8"/>
  <c r="E55" i="8"/>
  <c r="H55" i="8" s="1"/>
  <c r="L79" i="7"/>
  <c r="G11" i="7"/>
  <c r="L107" i="8"/>
  <c r="E22" i="8" s="1"/>
  <c r="E25" i="8" s="1"/>
  <c r="N80" i="8"/>
  <c r="N107" i="8" s="1"/>
  <c r="V107" i="8"/>
  <c r="H58" i="10"/>
  <c r="E19" i="7"/>
  <c r="M19" i="7" s="1"/>
  <c r="E20" i="7"/>
  <c r="M20" i="7" s="1"/>
  <c r="K107" i="8"/>
  <c r="E53" i="8" s="1"/>
  <c r="G27" i="7" l="1"/>
  <c r="H27" i="7"/>
  <c r="H28" i="7"/>
  <c r="G28" i="7"/>
  <c r="H26" i="7"/>
  <c r="G26" i="7"/>
  <c r="H25" i="7"/>
  <c r="G25" i="7"/>
  <c r="H30" i="7"/>
  <c r="G30" i="7"/>
  <c r="H29" i="7"/>
  <c r="G29" i="7"/>
  <c r="F21" i="8"/>
  <c r="G30" i="6"/>
  <c r="H30" i="6"/>
  <c r="G34" i="6"/>
  <c r="G32" i="6"/>
  <c r="G31" i="6"/>
  <c r="G33" i="6"/>
  <c r="G35" i="6"/>
  <c r="E51" i="8"/>
  <c r="H51" i="8" s="1"/>
  <c r="E47" i="8"/>
  <c r="H47" i="8" s="1"/>
  <c r="E50" i="8"/>
  <c r="H50" i="8" s="1"/>
  <c r="E46" i="8"/>
  <c r="E49" i="8"/>
  <c r="H49" i="8" s="1"/>
  <c r="E48" i="8"/>
  <c r="H48" i="8" s="1"/>
  <c r="G55" i="8"/>
  <c r="D39" i="7"/>
  <c r="H53" i="8"/>
  <c r="E54" i="8"/>
  <c r="H54" i="8" s="1"/>
  <c r="G11" i="8"/>
  <c r="U105" i="9"/>
  <c r="U104" i="9"/>
  <c r="U103" i="9"/>
  <c r="U102" i="9"/>
  <c r="U101" i="9"/>
  <c r="U100" i="9"/>
  <c r="U99" i="9"/>
  <c r="U98" i="9"/>
  <c r="U97" i="9"/>
  <c r="U96" i="9"/>
  <c r="U95" i="9"/>
  <c r="U94" i="9"/>
  <c r="U93" i="9"/>
  <c r="U92" i="9"/>
  <c r="U91" i="9"/>
  <c r="U90" i="9"/>
  <c r="U89" i="9"/>
  <c r="U88" i="9"/>
  <c r="R88" i="9"/>
  <c r="U87" i="9"/>
  <c r="U86" i="9"/>
  <c r="U85" i="9"/>
  <c r="U84" i="9"/>
  <c r="U83" i="9"/>
  <c r="U82" i="9"/>
  <c r="U81" i="9"/>
  <c r="L98" i="9"/>
  <c r="L99" i="9"/>
  <c r="L100" i="9"/>
  <c r="L101" i="9"/>
  <c r="L102" i="9"/>
  <c r="L103" i="9"/>
  <c r="L104" i="9"/>
  <c r="L105" i="9"/>
  <c r="E26" i="8" l="1"/>
  <c r="H26" i="8" s="1"/>
  <c r="H25" i="8"/>
  <c r="N22" i="8"/>
  <c r="D65" i="8" s="1"/>
  <c r="G50" i="8"/>
  <c r="G48" i="8"/>
  <c r="G47" i="8"/>
  <c r="H46" i="8"/>
  <c r="G46" i="8"/>
  <c r="G49" i="8"/>
  <c r="G51" i="8"/>
  <c r="G37" i="10"/>
  <c r="L97" i="9"/>
  <c r="L96" i="9"/>
  <c r="L95" i="9"/>
  <c r="L94" i="9"/>
  <c r="L93" i="9"/>
  <c r="L92" i="9"/>
  <c r="L91" i="9"/>
  <c r="L90" i="9"/>
  <c r="L89" i="9"/>
  <c r="L88" i="9"/>
  <c r="I88" i="9"/>
  <c r="L87" i="9"/>
  <c r="L86" i="9"/>
  <c r="L85" i="9"/>
  <c r="L84" i="9"/>
  <c r="L83" i="9"/>
  <c r="L82" i="9"/>
  <c r="L81" i="9"/>
  <c r="M29" i="9"/>
  <c r="M28" i="9"/>
  <c r="M27" i="9"/>
  <c r="M26" i="9"/>
  <c r="M25" i="9"/>
  <c r="M24" i="9"/>
  <c r="M23" i="9"/>
  <c r="M22" i="9"/>
  <c r="M21" i="9"/>
  <c r="M20" i="9"/>
  <c r="G25" i="6"/>
  <c r="G26" i="6"/>
  <c r="G24" i="6"/>
  <c r="G22" i="6"/>
  <c r="H22" i="6"/>
  <c r="H21" i="6" s="1"/>
  <c r="N76" i="5"/>
  <c r="N79" i="5"/>
  <c r="N83" i="5"/>
  <c r="N60" i="5"/>
  <c r="N62" i="5"/>
  <c r="N67" i="5"/>
  <c r="I66" i="5"/>
  <c r="G54" i="8"/>
  <c r="G53" i="8"/>
  <c r="G44" i="8"/>
  <c r="G43" i="8"/>
  <c r="G42" i="8"/>
  <c r="G41" i="8"/>
  <c r="G40" i="8"/>
  <c r="G39" i="8"/>
  <c r="G38" i="8"/>
  <c r="G37" i="8"/>
  <c r="G36" i="8"/>
  <c r="G35" i="8"/>
  <c r="G34" i="8"/>
  <c r="G33" i="8"/>
  <c r="G32" i="8"/>
  <c r="G31" i="8"/>
  <c r="G30" i="8"/>
  <c r="G29" i="8"/>
  <c r="H28" i="8"/>
  <c r="G28" i="8"/>
  <c r="H22" i="8"/>
  <c r="H21" i="8" s="1"/>
  <c r="G22" i="8"/>
  <c r="H28" i="4"/>
  <c r="H26" i="4"/>
  <c r="H25" i="4"/>
  <c r="H24" i="4"/>
  <c r="H22" i="4"/>
  <c r="H21" i="4"/>
  <c r="L59" i="4"/>
  <c r="I66" i="4"/>
  <c r="K86" i="4" s="1"/>
  <c r="E38" i="4" s="1"/>
  <c r="H38" i="4" s="1"/>
  <c r="H30" i="4" s="1"/>
  <c r="G26" i="8" l="1"/>
  <c r="H23" i="8"/>
  <c r="H45" i="8"/>
  <c r="G36" i="10"/>
  <c r="G33" i="10"/>
  <c r="G34" i="10"/>
  <c r="G38" i="10"/>
  <c r="G32" i="10"/>
  <c r="G40" i="10"/>
  <c r="G35" i="10"/>
  <c r="G31" i="10"/>
  <c r="G30" i="10"/>
  <c r="G158" i="10" s="1"/>
  <c r="G159" i="10" s="1"/>
  <c r="G160" i="10" s="1"/>
  <c r="H30" i="10"/>
  <c r="G39" i="10"/>
  <c r="G25" i="8"/>
  <c r="H27" i="8"/>
  <c r="K108" i="9"/>
  <c r="E56" i="9" s="1"/>
  <c r="M45" i="9"/>
  <c r="M37" i="9"/>
  <c r="M33" i="9"/>
  <c r="M43" i="9"/>
  <c r="M35" i="9"/>
  <c r="M31" i="9"/>
  <c r="M40" i="9"/>
  <c r="M32" i="9"/>
  <c r="M46" i="9"/>
  <c r="M42" i="9"/>
  <c r="M38" i="9"/>
  <c r="M34" i="9"/>
  <c r="M47" i="9"/>
  <c r="M39" i="9"/>
  <c r="M44" i="9"/>
  <c r="M36" i="9"/>
  <c r="G20" i="9"/>
  <c r="G22" i="9"/>
  <c r="G24" i="9"/>
  <c r="G26" i="9"/>
  <c r="G28" i="9"/>
  <c r="H20" i="9"/>
  <c r="G21" i="9"/>
  <c r="G23" i="9"/>
  <c r="G25" i="9"/>
  <c r="G27" i="9"/>
  <c r="G29" i="9"/>
  <c r="K86" i="5"/>
  <c r="M36" i="3"/>
  <c r="M35" i="3"/>
  <c r="M34" i="3"/>
  <c r="M33" i="3"/>
  <c r="M32" i="3"/>
  <c r="M31" i="3"/>
  <c r="M30" i="3"/>
  <c r="M29" i="3"/>
  <c r="M28" i="3"/>
  <c r="M27" i="3"/>
  <c r="M26" i="3"/>
  <c r="M25" i="3"/>
  <c r="M24" i="3"/>
  <c r="M23" i="3"/>
  <c r="M22" i="3"/>
  <c r="M21" i="3"/>
  <c r="L69" i="3"/>
  <c r="L70" i="3"/>
  <c r="L71" i="3"/>
  <c r="L72" i="3"/>
  <c r="L73" i="3"/>
  <c r="L74" i="3"/>
  <c r="L75" i="3"/>
  <c r="L76" i="3"/>
  <c r="L77" i="3"/>
  <c r="L78" i="3"/>
  <c r="L79" i="3"/>
  <c r="L80" i="3"/>
  <c r="L83" i="3"/>
  <c r="L84" i="3"/>
  <c r="L85" i="3"/>
  <c r="L86" i="3"/>
  <c r="L87" i="3"/>
  <c r="L88" i="3"/>
  <c r="L89" i="3"/>
  <c r="L90" i="3"/>
  <c r="L91" i="3"/>
  <c r="L92" i="3"/>
  <c r="L82" i="3"/>
  <c r="M20" i="3"/>
  <c r="F20" i="5" l="1"/>
  <c r="E34" i="5"/>
  <c r="G34" i="5" s="1"/>
  <c r="F22" i="5"/>
  <c r="H56" i="9"/>
  <c r="G56" i="9"/>
  <c r="G57" i="8"/>
  <c r="G58" i="8" s="1"/>
  <c r="G59" i="8" s="1"/>
  <c r="H19" i="9"/>
  <c r="F19" i="9"/>
  <c r="H29" i="10"/>
  <c r="H18" i="10" s="1"/>
  <c r="D56" i="3"/>
  <c r="D67" i="9"/>
  <c r="H31" i="9"/>
  <c r="G31" i="9"/>
  <c r="G47" i="9"/>
  <c r="G35" i="9"/>
  <c r="G36" i="9"/>
  <c r="G34" i="9"/>
  <c r="G32" i="9"/>
  <c r="G43" i="9"/>
  <c r="G45" i="9"/>
  <c r="G39" i="9"/>
  <c r="G42" i="9"/>
  <c r="G37" i="9"/>
  <c r="G46" i="9"/>
  <c r="G41" i="9"/>
  <c r="G44" i="9"/>
  <c r="G38" i="9"/>
  <c r="G40" i="9"/>
  <c r="G33" i="9"/>
  <c r="E35" i="5"/>
  <c r="H35" i="5" s="1"/>
  <c r="G11" i="4"/>
  <c r="G11" i="5"/>
  <c r="H34" i="5" l="1"/>
  <c r="H30" i="9"/>
  <c r="K95" i="3"/>
  <c r="E46" i="3" l="1"/>
  <c r="G46" i="3" s="1"/>
  <c r="G11" i="3"/>
  <c r="E45" i="3"/>
  <c r="H46" i="3" l="1"/>
  <c r="H45" i="3"/>
  <c r="G45" i="3"/>
  <c r="R95" i="2"/>
  <c r="Q95" i="2"/>
  <c r="Q96" i="2"/>
  <c r="Q107" i="2"/>
  <c r="R107" i="2"/>
  <c r="I114" i="2"/>
  <c r="I102" i="2"/>
  <c r="K120" i="2" l="1"/>
  <c r="E67" i="2" s="1"/>
  <c r="R110" i="2"/>
  <c r="R111" i="2"/>
  <c r="R112" i="2"/>
  <c r="R113" i="2"/>
  <c r="R114" i="2"/>
  <c r="R115" i="2"/>
  <c r="R116" i="2"/>
  <c r="R117" i="2"/>
  <c r="R118" i="2"/>
  <c r="R119" i="2"/>
  <c r="R109" i="2"/>
  <c r="Q110" i="2"/>
  <c r="Q111" i="2"/>
  <c r="Q112" i="2"/>
  <c r="Q113" i="2"/>
  <c r="Q114" i="2"/>
  <c r="Q115" i="2"/>
  <c r="Q116" i="2"/>
  <c r="Q117" i="2"/>
  <c r="Q118" i="2"/>
  <c r="Q119" i="2"/>
  <c r="Q109" i="2"/>
  <c r="R96" i="2"/>
  <c r="R97" i="2"/>
  <c r="R98" i="2"/>
  <c r="R99" i="2"/>
  <c r="R100" i="2"/>
  <c r="R101" i="2"/>
  <c r="R102" i="2"/>
  <c r="R103" i="2"/>
  <c r="R104" i="2"/>
  <c r="R105" i="2"/>
  <c r="R106" i="2"/>
  <c r="Q97" i="2"/>
  <c r="Q98" i="2"/>
  <c r="Q99" i="2"/>
  <c r="Q100" i="2"/>
  <c r="Q101" i="2"/>
  <c r="Q102" i="2"/>
  <c r="Q103" i="2"/>
  <c r="Q104" i="2"/>
  <c r="Q105" i="2"/>
  <c r="Q106" i="2"/>
  <c r="G67" i="2" l="1"/>
  <c r="H67" i="2"/>
  <c r="E68" i="2"/>
  <c r="H68" i="2" s="1"/>
  <c r="E65" i="2"/>
  <c r="E63" i="2"/>
  <c r="E66" i="2"/>
  <c r="H66" i="2" s="1"/>
  <c r="E64" i="2"/>
  <c r="H64" i="2" s="1"/>
  <c r="R120" i="2"/>
  <c r="Q120" i="2"/>
  <c r="G10" i="2"/>
  <c r="G65" i="2" l="1"/>
  <c r="H65" i="2"/>
  <c r="G63" i="2"/>
  <c r="H63" i="2"/>
  <c r="G64" i="2"/>
  <c r="G66" i="2"/>
  <c r="H23" i="7" l="1"/>
  <c r="G23" i="7"/>
  <c r="H22" i="7"/>
  <c r="G22" i="7"/>
  <c r="H20" i="7"/>
  <c r="G20" i="7"/>
  <c r="H19" i="7"/>
  <c r="G19" i="7"/>
  <c r="G32" i="7" l="1"/>
  <c r="G33" i="7" s="1"/>
  <c r="G34" i="7" s="1"/>
  <c r="H24" i="7"/>
  <c r="H21" i="7"/>
  <c r="G68" i="2"/>
  <c r="H45" i="2" l="1"/>
  <c r="H56" i="2"/>
  <c r="G27" i="6"/>
  <c r="G28" i="6"/>
  <c r="G23" i="6"/>
  <c r="K85" i="6"/>
  <c r="G46" i="2"/>
  <c r="G47" i="2"/>
  <c r="G48" i="2"/>
  <c r="G49" i="2"/>
  <c r="G50" i="2"/>
  <c r="G51" i="2"/>
  <c r="G52" i="2"/>
  <c r="G53" i="2"/>
  <c r="G54" i="2"/>
  <c r="G45" i="2"/>
  <c r="E19" i="6" l="1"/>
  <c r="E20" i="6"/>
  <c r="G11" i="6"/>
  <c r="H44" i="2"/>
  <c r="H29" i="6"/>
  <c r="H20" i="6" l="1"/>
  <c r="G20" i="6"/>
  <c r="G19" i="6"/>
  <c r="H19" i="6"/>
  <c r="H18" i="6" s="1"/>
  <c r="M25" i="4"/>
  <c r="M29" i="4"/>
  <c r="M28" i="4"/>
  <c r="M27" i="4"/>
  <c r="M26" i="4"/>
  <c r="M24" i="4"/>
  <c r="M23" i="4"/>
  <c r="M22" i="4"/>
  <c r="M21" i="4"/>
  <c r="M20" i="4"/>
  <c r="L36" i="3"/>
  <c r="L35" i="3"/>
  <c r="L34" i="3"/>
  <c r="L33" i="3"/>
  <c r="L32" i="3"/>
  <c r="L21" i="3"/>
  <c r="L22" i="3"/>
  <c r="L23" i="3"/>
  <c r="L24" i="3"/>
  <c r="L25" i="3"/>
  <c r="L26" i="3"/>
  <c r="L27" i="3"/>
  <c r="L28" i="3"/>
  <c r="L29" i="3"/>
  <c r="L30" i="3"/>
  <c r="L31" i="3"/>
  <c r="L20" i="3"/>
  <c r="G37" i="6" l="1"/>
  <c r="G38" i="6" s="1"/>
  <c r="G39" i="6" s="1"/>
  <c r="D48" i="4"/>
  <c r="H55" i="2"/>
  <c r="G35" i="5"/>
  <c r="G29" i="4" l="1"/>
  <c r="G28" i="4"/>
  <c r="G27" i="4"/>
  <c r="G26" i="4"/>
  <c r="G25" i="4"/>
  <c r="G24" i="4"/>
  <c r="G23" i="4"/>
  <c r="G22" i="4"/>
  <c r="G21" i="4"/>
  <c r="H20" i="4"/>
  <c r="G20" i="4"/>
  <c r="H19" i="4" l="1"/>
  <c r="G38" i="4"/>
  <c r="G41" i="4" l="1"/>
  <c r="G42" i="4" s="1"/>
  <c r="H38" i="3"/>
  <c r="G38" i="3"/>
  <c r="G36" i="3"/>
  <c r="G35" i="3"/>
  <c r="G34" i="3"/>
  <c r="G33" i="3"/>
  <c r="G32" i="3"/>
  <c r="G31" i="3"/>
  <c r="G30" i="3"/>
  <c r="G29" i="3"/>
  <c r="G28" i="3"/>
  <c r="G27" i="3"/>
  <c r="G26" i="3"/>
  <c r="G25" i="3"/>
  <c r="G24" i="3"/>
  <c r="G23" i="3"/>
  <c r="G22" i="3"/>
  <c r="G21" i="3"/>
  <c r="H20" i="3"/>
  <c r="G20" i="3"/>
  <c r="H37" i="3" l="1"/>
  <c r="H19" i="3"/>
  <c r="G47" i="3"/>
  <c r="G48" i="3" s="1"/>
  <c r="G49" i="3" s="1"/>
  <c r="E43" i="2" l="1"/>
  <c r="R43" i="2" l="1"/>
  <c r="H43" i="2"/>
  <c r="H32" i="2" s="1"/>
  <c r="G43" i="2"/>
  <c r="R55" i="2" l="1"/>
  <c r="D80" i="2"/>
  <c r="G71" i="2"/>
  <c r="G72" i="2" s="1"/>
  <c r="R100" i="9"/>
  <c r="T108" i="9" s="1"/>
  <c r="E58" i="9" s="1"/>
  <c r="H58" i="9" s="1"/>
  <c r="E57" i="9" l="1"/>
  <c r="F30" i="9"/>
  <c r="G11" i="9"/>
  <c r="H57" i="9" l="1"/>
  <c r="G57" i="9"/>
  <c r="G58" i="9"/>
  <c r="H48" i="9"/>
  <c r="L86" i="5"/>
  <c r="E21" i="5" s="1"/>
  <c r="E24" i="5" s="1"/>
  <c r="N59" i="5"/>
  <c r="N86" i="5" s="1"/>
  <c r="E28" i="5" s="1"/>
  <c r="H28" i="5" s="1"/>
  <c r="M86" i="5"/>
  <c r="E23" i="5" s="1"/>
  <c r="D46" i="5" l="1"/>
  <c r="G59" i="9"/>
  <c r="G60" i="9" s="1"/>
  <c r="G61" i="9" s="1"/>
  <c r="E32" i="5"/>
  <c r="H32" i="5" s="1"/>
  <c r="E31" i="5"/>
  <c r="H31" i="5" s="1"/>
  <c r="E27" i="5"/>
  <c r="E30" i="5"/>
  <c r="H30" i="5" s="1"/>
  <c r="E29" i="5"/>
  <c r="H29" i="5" s="1"/>
  <c r="L89" i="5"/>
  <c r="H23" i="5"/>
  <c r="M89" i="5"/>
  <c r="H21" i="5" l="1"/>
  <c r="H20" i="5" s="1"/>
  <c r="G27" i="5"/>
  <c r="H27" i="5"/>
  <c r="G31" i="5"/>
  <c r="G29" i="5"/>
  <c r="G28" i="5"/>
  <c r="G30" i="5"/>
  <c r="G32" i="5"/>
  <c r="H24" i="5"/>
  <c r="G21" i="5"/>
  <c r="G23" i="5"/>
  <c r="G24" i="5" l="1"/>
  <c r="E25" i="5"/>
  <c r="H25" i="5" s="1"/>
  <c r="H22" i="5" s="1"/>
  <c r="H26" i="5"/>
  <c r="G25" i="5" l="1"/>
  <c r="G36" i="5" s="1"/>
  <c r="G37" i="5" s="1"/>
  <c r="G3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Dell</author>
  </authors>
  <commentList>
    <comment ref="E12" authorId="0" shapeId="0" xr:uid="{886CE493-DAC5-451F-9ACD-044500D244AA}">
      <text>
        <r>
          <rPr>
            <b/>
            <sz val="9"/>
            <color indexed="81"/>
            <rFont val="Segoe UI"/>
            <family val="2"/>
          </rPr>
          <t>Se bifeaza cu X ce tip de cablu se foloseste in oferta - confort termic 10W/ml sau incalzire unica 17W/ml sau 20W/ml</t>
        </r>
        <r>
          <rPr>
            <sz val="9"/>
            <color indexed="81"/>
            <rFont val="Segoe UI"/>
            <family val="2"/>
          </rPr>
          <t xml:space="preserve">
</t>
        </r>
      </text>
    </comment>
    <comment ref="E63" authorId="0" shapeId="0" xr:uid="{614C15E3-38EE-4750-97ED-5D04311132B9}">
      <text>
        <r>
          <rPr>
            <b/>
            <sz val="9"/>
            <color indexed="81"/>
            <rFont val="Segoe UI"/>
            <family val="2"/>
          </rPr>
          <t>Daca clientul nu are polistiren in radier sau pe placa poate pune doar Isorol si monta cablul cu banda metalica sau cu bride de plastic pe plasa de armare. In acest caz se sterge folia reflectorizanta</t>
        </r>
        <r>
          <rPr>
            <sz val="9"/>
            <color indexed="81"/>
            <rFont val="Segoe UI"/>
            <family val="2"/>
          </rPr>
          <t xml:space="preserve">
</t>
        </r>
      </text>
    </comment>
    <comment ref="E64" authorId="0" shapeId="0" xr:uid="{67D8F60D-2C32-466F-AC28-B4A77DF9BB11}">
      <text>
        <r>
          <rPr>
            <b/>
            <sz val="9"/>
            <color indexed="81"/>
            <rFont val="Segoe UI"/>
            <family val="2"/>
          </rPr>
          <t>Daca clientul are izolatia lui de polistiren extrudat se va sterge Isorolul si se lasa tipul de folie reflectorizanta in functie de suprafata. Se poate elimina banda de montaj si cablul se prinde de plasa de armare cu bride de plastic.</t>
        </r>
        <r>
          <rPr>
            <sz val="9"/>
            <color indexed="81"/>
            <rFont val="Segoe UI"/>
            <family val="2"/>
          </rPr>
          <t xml:space="preserve">
</t>
        </r>
      </text>
    </comment>
    <comment ref="E65" authorId="1" shapeId="0" xr:uid="{8A2603E0-B8AC-40D6-9625-C1694AA80897}">
      <text>
        <r>
          <rPr>
            <b/>
            <sz val="9"/>
            <color indexed="81"/>
            <rFont val="Tahoma"/>
            <family val="2"/>
          </rPr>
          <t>Dell:</t>
        </r>
        <r>
          <rPr>
            <sz val="9"/>
            <color indexed="81"/>
            <rFont val="Tahoma"/>
            <family val="2"/>
          </rPr>
          <t xml:space="preserve">
Daca clientul are izolatia lui de polistiren extrudat se va sterge Isorolul si se lasa tipul de folie reflectorizanta in functie de suprafata. Se poate elimina banda de montaj si cablul se prinde de plasa de armare cu bride de plastic.</t>
        </r>
      </text>
    </comment>
    <comment ref="J95" authorId="0" shapeId="0" xr:uid="{4F37C046-54E2-409A-A8D4-5EE268DB6CA9}">
      <text>
        <r>
          <rPr>
            <sz val="9"/>
            <color indexed="81"/>
            <rFont val="Segoe UI"/>
            <family val="2"/>
          </rPr>
          <t>Se pot inlocui denumirile destinatiilor camerelor cu denumirile din plan.</t>
        </r>
      </text>
    </comment>
    <comment ref="K95" authorId="0" shapeId="0" xr:uid="{42429ED9-D99D-4D1D-A6FE-E5DABE05FB1D}">
      <text>
        <r>
          <rPr>
            <b/>
            <sz val="9"/>
            <color indexed="81"/>
            <rFont val="Segoe UI"/>
            <family val="2"/>
          </rPr>
          <t>Se completeaza manual cu suprafata incaperii.</t>
        </r>
        <r>
          <rPr>
            <sz val="9"/>
            <color indexed="81"/>
            <rFont val="Segoe UI"/>
            <family val="2"/>
          </rPr>
          <t xml:space="preserve">
</t>
        </r>
      </text>
    </comment>
    <comment ref="N95" authorId="0" shapeId="0" xr:uid="{EE65C83F-D147-4D30-8FC0-BF27792FAB10}">
      <text>
        <r>
          <rPr>
            <b/>
            <sz val="9"/>
            <color indexed="81"/>
            <rFont val="Segoe UI"/>
            <family val="2"/>
          </rPr>
          <t>Se alege si se pune manual o combinatie de puteri, din tabelul din dreapta,pe cat se poate de apropiate, astfel incat suma lor sa se incadreze intre valorile cu rosu corespunzatoare aceluiasi rand.</t>
        </r>
        <r>
          <rPr>
            <sz val="9"/>
            <color indexed="81"/>
            <rFont val="Segoe UI"/>
            <family val="2"/>
          </rPr>
          <t xml:space="preserve">
</t>
        </r>
      </text>
    </comment>
    <comment ref="S95" authorId="0" shapeId="0" xr:uid="{6E5F9824-5D17-4D41-BFC1-80D9D85F5A11}">
      <text>
        <r>
          <rPr>
            <b/>
            <sz val="9"/>
            <color indexed="81"/>
            <rFont val="Segoe UI"/>
            <family val="2"/>
          </rPr>
          <t>Se alege si se pune manual o combinatie de puteri, din tabelul din dreapta,pe cat se poate de apropiate, astfel incat suma lor sa se incadreze intre valorile cu rosu corespunzatoare aceluiasi rand.</t>
        </r>
        <r>
          <rPr>
            <sz val="9"/>
            <color indexed="81"/>
            <rFont val="Segoe UI"/>
            <family val="2"/>
          </rPr>
          <t xml:space="preserve">
</t>
        </r>
      </text>
    </comment>
    <comment ref="V95" authorId="0" shapeId="0" xr:uid="{421EDAC9-5F6F-45C9-984E-32031278EB03}">
      <text>
        <r>
          <rPr>
            <b/>
            <sz val="9"/>
            <color indexed="81"/>
            <rFont val="Segoe UI"/>
            <family val="2"/>
          </rPr>
          <t>Se alege si se pune manual o combinatie de puteri, din tabelul din dreapta,pe cat se poate de apropiate, astfel incat suma lor sa se incadreze intre valorile cu rosu corespunzatoare aceluiasi rand.</t>
        </r>
        <r>
          <rPr>
            <sz val="9"/>
            <color indexed="81"/>
            <rFont val="Segoe UI"/>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Lenovo</author>
    <author>Dell</author>
  </authors>
  <commentList>
    <comment ref="E151" authorId="0" shapeId="0" xr:uid="{F404B20E-8D81-41C0-85D5-D18BAF39A542}">
      <text>
        <r>
          <rPr>
            <b/>
            <sz val="9"/>
            <color indexed="81"/>
            <rFont val="Segoe UI"/>
            <family val="2"/>
          </rPr>
          <t>Daca clientul nu are polistiren in radier sau pe placa poate pune doar Isorol si monta cablul cu banda metalica sau cu bride de plastic pe plasa de armare. In acest caz se sterge folia reflectorizanta</t>
        </r>
        <r>
          <rPr>
            <sz val="9"/>
            <color indexed="81"/>
            <rFont val="Segoe UI"/>
            <family val="2"/>
          </rPr>
          <t xml:space="preserve">
</t>
        </r>
      </text>
    </comment>
    <comment ref="E152" authorId="0" shapeId="0" xr:uid="{76E3B8FE-D411-4FA9-ACFA-9C8D0AE027ED}">
      <text>
        <r>
          <rPr>
            <b/>
            <sz val="9"/>
            <color indexed="81"/>
            <rFont val="Segoe UI"/>
            <family val="2"/>
          </rPr>
          <t>Daca clientul are izolatia lui de polistiren extrudat se va sterge Isorolul si se lasa tipul de folie reflectorizanta in functie de suprafata. Se poate elimina banda de montaj si cablul se prinde de plasa de armare cu bride de plastic.</t>
        </r>
        <r>
          <rPr>
            <sz val="9"/>
            <color indexed="81"/>
            <rFont val="Segoe UI"/>
            <family val="2"/>
          </rPr>
          <t xml:space="preserve">
</t>
        </r>
      </text>
    </comment>
    <comment ref="E153" authorId="1" shapeId="0" xr:uid="{9F87EEB2-7C22-4BA9-B0A0-8FB01F9DF060}">
      <text>
        <r>
          <rPr>
            <b/>
            <sz val="9"/>
            <color indexed="81"/>
            <rFont val="Tahoma"/>
            <family val="2"/>
          </rPr>
          <t>Dell:</t>
        </r>
        <r>
          <rPr>
            <sz val="9"/>
            <color indexed="81"/>
            <rFont val="Tahoma"/>
            <family val="2"/>
          </rPr>
          <t xml:space="preserve">
Daca clientul are izolatia lui de polistiren extrudat se va sterge Isorolul si se lasa tipul de folie reflectorizanta in functie de suprafata. Se poate elimina banda de montaj si cablul se prinde de plasa de armare cu bride de plastic.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E45" authorId="0" shapeId="0" xr:uid="{4895046C-8748-4061-A777-40D8AEC57B46}">
      <text>
        <r>
          <rPr>
            <b/>
            <sz val="9"/>
            <color indexed="81"/>
            <rFont val="Segoe UI"/>
            <family val="2"/>
          </rPr>
          <t>Se va sterge cantitatea la  izolatia Isoplate daca nu se doreste deloc sau doar cea care nu se doreste dintre cele doua.</t>
        </r>
        <r>
          <rPr>
            <sz val="9"/>
            <color indexed="81"/>
            <rFont val="Segoe UI"/>
            <family val="2"/>
          </rPr>
          <t xml:space="preserve">
</t>
        </r>
      </text>
    </comment>
    <comment ref="E46" authorId="0" shapeId="0" xr:uid="{8DCB32BA-9F66-4582-A29E-05CCECD1D06A}">
      <text>
        <r>
          <rPr>
            <b/>
            <sz val="9"/>
            <color indexed="81"/>
            <rFont val="Segoe UI"/>
            <family val="2"/>
          </rPr>
          <t>Se va sterge cantitatea la  izolatia Isoplate daca nu se doreste deloc sau doar cea care nu se doreste dintre cele doua.</t>
        </r>
        <r>
          <rPr>
            <sz val="9"/>
            <color indexed="81"/>
            <rFont val="Segoe UI"/>
            <family val="2"/>
          </rPr>
          <t xml:space="preserve">
</t>
        </r>
      </text>
    </comment>
    <comment ref="J68" authorId="0" shapeId="0" xr:uid="{1E857616-2D18-445A-896C-9932227B46FE}">
      <text>
        <r>
          <rPr>
            <b/>
            <sz val="9"/>
            <color indexed="81"/>
            <rFont val="Segoe UI"/>
            <family val="2"/>
          </rPr>
          <t>Se pot inlocui denumirile destinatiilor camerelor cu denumirile din plan.</t>
        </r>
        <r>
          <rPr>
            <sz val="9"/>
            <color indexed="81"/>
            <rFont val="Segoe UI"/>
            <family val="2"/>
          </rPr>
          <t xml:space="preserve">
</t>
        </r>
      </text>
    </comment>
    <comment ref="K68" authorId="0" shapeId="0" xr:uid="{EB3998FE-1727-4621-B8AE-5BF12C17E8CE}">
      <text>
        <r>
          <rPr>
            <sz val="9"/>
            <color indexed="81"/>
            <rFont val="Segoe UI"/>
            <family val="2"/>
          </rPr>
          <t xml:space="preserve">
Se completeaza manual cu suprafata incaperii.</t>
        </r>
      </text>
    </comment>
    <comment ref="L68" authorId="0" shapeId="0" xr:uid="{B78D8875-18F7-4AF2-9C6C-17D257B1A47D}">
      <text>
        <r>
          <rPr>
            <b/>
            <sz val="9"/>
            <color indexed="81"/>
            <rFont val="Segoe UI"/>
            <family val="2"/>
          </rPr>
          <t>Se calculeaza automat</t>
        </r>
        <r>
          <rPr>
            <sz val="9"/>
            <color indexed="81"/>
            <rFont val="Segoe UI"/>
            <family val="2"/>
          </rPr>
          <t xml:space="preserve">
</t>
        </r>
      </text>
    </comment>
    <comment ref="M68" authorId="0" shapeId="0" xr:uid="{9434F5C4-7290-41CF-9691-4040407B353E}">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cu negru a suprafetei incaperii corespunzatoare aceluiasi rand.  </t>
        </r>
        <r>
          <rPr>
            <sz val="9"/>
            <color indexed="81"/>
            <rFont val="Segoe UI"/>
            <family val="2"/>
          </rPr>
          <t xml:space="preserve">
</t>
        </r>
      </text>
    </comment>
    <comment ref="N68" authorId="0" shapeId="0" xr:uid="{5F6D27A3-82FB-41B4-83A3-96279D0AA31C}">
      <text>
        <r>
          <rPr>
            <sz val="9"/>
            <color indexed="81"/>
            <rFont val="Segoe UI"/>
            <family val="2"/>
          </rPr>
          <t>Se alege si se pune manual o combinatie de suprafete de covoras [mp] din tabelul din dreapta,pe cat se poate de apropiate, astfel incat suma lor sa se incadreze intre valoarea cu rosu si maximum valoarea cu negru a suprafetei incaperii corespunzatoare aceluiasi rand.</t>
        </r>
      </text>
    </comment>
    <comment ref="O68" authorId="0" shapeId="0" xr:uid="{32CCD283-81FF-4D96-A67E-B916B9049CA9}">
      <text>
        <r>
          <rPr>
            <b/>
            <sz val="9"/>
            <color indexed="81"/>
            <rFont val="Segoe UI"/>
            <family val="2"/>
          </rPr>
          <t>Se alege si se pune manual o combinatie de suprafete de covoras [mp] din tabelul din dreapta,pe cat se poate de apropiate, astfel incat suma lor sa se incadreze intre valoarea cu rosu si maximum valoarea cu negru a suprafetei incaperii corespunzatoare aceluiasi rand.</t>
        </r>
      </text>
    </comment>
    <comment ref="P68" authorId="0" shapeId="0" xr:uid="{10554E1D-BED1-4DDC-A3B7-3A9F0D0F4F95}">
      <text>
        <r>
          <rPr>
            <b/>
            <sz val="9"/>
            <color indexed="81"/>
            <rFont val="Segoe UI"/>
            <family val="2"/>
          </rPr>
          <t>Se completeaza automat</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E38" authorId="0" shapeId="0" xr:uid="{4311B122-2E61-4BFE-8DC5-7857B34BCEF0}">
      <text>
        <r>
          <rPr>
            <b/>
            <sz val="9"/>
            <color indexed="81"/>
            <rFont val="Segoe UI"/>
            <family val="2"/>
          </rPr>
          <t>Nu se sterge</t>
        </r>
        <r>
          <rPr>
            <sz val="9"/>
            <color indexed="81"/>
            <rFont val="Segoe UI"/>
            <family val="2"/>
          </rPr>
          <t xml:space="preserve">
</t>
        </r>
      </text>
    </comment>
    <comment ref="J59" authorId="0" shapeId="0" xr:uid="{7228D8E6-562C-4768-A9D8-2646DFEFB381}">
      <text>
        <r>
          <rPr>
            <b/>
            <sz val="9"/>
            <color indexed="81"/>
            <rFont val="Segoe UI"/>
            <family val="2"/>
          </rPr>
          <t>Se pot inlocui denumirile destinatiilor camerelor cu denumirile din plan.</t>
        </r>
        <r>
          <rPr>
            <sz val="9"/>
            <color indexed="81"/>
            <rFont val="Segoe UI"/>
            <family val="2"/>
          </rPr>
          <t xml:space="preserve">
</t>
        </r>
      </text>
    </comment>
    <comment ref="K59" authorId="0" shapeId="0" xr:uid="{65019552-D164-4011-BE53-A35E5DAE4F2B}">
      <text>
        <r>
          <rPr>
            <b/>
            <sz val="9"/>
            <color indexed="81"/>
            <rFont val="Segoe UI"/>
            <family val="2"/>
          </rPr>
          <t>Se completeaza manual cu suprafata incaperii.</t>
        </r>
        <r>
          <rPr>
            <sz val="9"/>
            <color indexed="81"/>
            <rFont val="Segoe UI"/>
            <family val="2"/>
          </rPr>
          <t xml:space="preserve">
</t>
        </r>
      </text>
    </comment>
    <comment ref="L59" authorId="0" shapeId="0" xr:uid="{0BCFA0A2-FB64-437E-9B12-922DD7B84B53}">
      <text>
        <r>
          <rPr>
            <b/>
            <sz val="9"/>
            <color indexed="81"/>
            <rFont val="Segoe UI"/>
            <family val="2"/>
          </rPr>
          <t>Se completeaza automat</t>
        </r>
        <r>
          <rPr>
            <sz val="9"/>
            <color indexed="81"/>
            <rFont val="Segoe UI"/>
            <family val="2"/>
          </rPr>
          <t xml:space="preserve">
</t>
        </r>
      </text>
    </comment>
    <comment ref="M59" authorId="0" shapeId="0" xr:uid="{2962C674-C90F-485F-921D-ADD30CCC5700}">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r>
          <rPr>
            <sz val="9"/>
            <color indexed="81"/>
            <rFont val="Segoe UI"/>
            <family val="2"/>
          </rPr>
          <t xml:space="preserve">
</t>
        </r>
      </text>
    </comment>
    <comment ref="N59" authorId="0" shapeId="0" xr:uid="{24E58C50-C150-4DA0-A056-8F6ACBBDC4A6}">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r>
          <rPr>
            <sz val="9"/>
            <color indexed="81"/>
            <rFont val="Segoe UI"/>
            <family val="2"/>
          </rPr>
          <t xml:space="preserve">
</t>
        </r>
      </text>
    </comment>
    <comment ref="O59" authorId="0" shapeId="0" xr:uid="{52615423-541D-4223-975C-DC4D3FFF7BC1}">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r>
          <rPr>
            <sz val="9"/>
            <color indexed="81"/>
            <rFont val="Segoe UI"/>
            <family val="2"/>
          </rPr>
          <t xml:space="preserve">
</t>
        </r>
      </text>
    </comment>
    <comment ref="P59" authorId="0" shapeId="0" xr:uid="{54064E6A-A7CC-49A2-A7DD-6BA04A0187CA}">
      <text>
        <r>
          <rPr>
            <b/>
            <sz val="9"/>
            <color indexed="81"/>
            <rFont val="Segoe UI"/>
            <family val="2"/>
          </rPr>
          <t>Se completeaza automat</t>
        </r>
        <r>
          <rPr>
            <sz val="9"/>
            <color indexed="81"/>
            <rFont val="Segoe UI"/>
            <family val="2"/>
          </rPr>
          <t xml:space="preserve">
</t>
        </r>
      </text>
    </comment>
    <comment ref="L73" authorId="0" shapeId="0" xr:uid="{7F9AE753-26B2-4AD3-8B0D-8CFAEA227D9A}">
      <text>
        <r>
          <rPr>
            <b/>
            <sz val="9"/>
            <color indexed="81"/>
            <rFont val="Segoe UI"/>
            <family val="2"/>
          </rPr>
          <t>Se completeaza automat</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E56" authorId="0" shapeId="0" xr:uid="{BFF4BF16-E22B-4C30-AA56-A726F505BEA0}">
      <text>
        <r>
          <rPr>
            <b/>
            <sz val="9"/>
            <color indexed="81"/>
            <rFont val="Segoe UI"/>
            <family val="2"/>
          </rPr>
          <t>Nu se sterge</t>
        </r>
        <r>
          <rPr>
            <sz val="9"/>
            <color indexed="81"/>
            <rFont val="Segoe UI"/>
            <family val="2"/>
          </rPr>
          <t xml:space="preserve">
</t>
        </r>
      </text>
    </comment>
    <comment ref="E57" authorId="0" shapeId="0" xr:uid="{2E01657D-02EC-49B5-9A89-B3FA4BC37A13}">
      <text>
        <r>
          <rPr>
            <b/>
            <sz val="9"/>
            <color indexed="81"/>
            <rFont val="Segoe UI"/>
            <family val="2"/>
          </rPr>
          <t>Se va sterge cantitatea la  izolatia Isoplate daca nu se doreste deloc sau doar cea care nu se doreste dintre cele doua.</t>
        </r>
      </text>
    </comment>
    <comment ref="E58" authorId="0" shapeId="0" xr:uid="{4665749E-8D48-4FBA-A5CD-317430C99DC6}">
      <text>
        <r>
          <rPr>
            <b/>
            <sz val="9"/>
            <color indexed="81"/>
            <rFont val="Segoe UI"/>
            <family val="2"/>
          </rPr>
          <t>Se va sterge cantitatea la  izolatia Isoplate daca nu se doreste deloc sau doar cea care nu se doreste dintre cele doua.</t>
        </r>
        <r>
          <rPr>
            <sz val="9"/>
            <color indexed="81"/>
            <rFont val="Segoe UI"/>
            <family val="2"/>
          </rPr>
          <t xml:space="preserve">
</t>
        </r>
      </text>
    </comment>
    <comment ref="K81" authorId="0" shapeId="0" xr:uid="{85E55A79-23F7-4629-9644-A61FDD152426}">
      <text>
        <r>
          <rPr>
            <b/>
            <sz val="9"/>
            <color indexed="81"/>
            <rFont val="Segoe UI"/>
            <family val="2"/>
          </rPr>
          <t>Se completeaza manual cu suprafata incaperii.</t>
        </r>
        <r>
          <rPr>
            <sz val="9"/>
            <color indexed="81"/>
            <rFont val="Segoe UI"/>
            <family val="2"/>
          </rPr>
          <t xml:space="preserve">
</t>
        </r>
      </text>
    </comment>
    <comment ref="M81" authorId="0" shapeId="0" xr:uid="{3D0B9558-4E6D-4078-A7E7-211433ED50AA}">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r>
          <rPr>
            <sz val="9"/>
            <color indexed="81"/>
            <rFont val="Segoe UI"/>
            <family val="2"/>
          </rPr>
          <t xml:space="preserve">
</t>
        </r>
      </text>
    </comment>
    <comment ref="N81" authorId="0" shapeId="0" xr:uid="{A8EB24C6-CB3B-457F-B83C-9CDFC6D78990}">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text>
    </comment>
    <comment ref="O81" authorId="0" shapeId="0" xr:uid="{1FCB9FCE-C8CA-419A-9587-C595F49B9E7A}">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text>
    </comment>
    <comment ref="P81" authorId="0" shapeId="0" xr:uid="{F01CAF7D-34DD-4E0E-AF14-C3192BBF1A03}">
      <text>
        <r>
          <rPr>
            <b/>
            <sz val="9"/>
            <color indexed="81"/>
            <rFont val="Segoe UI"/>
            <family val="2"/>
          </rPr>
          <t>Se completeaza automat</t>
        </r>
        <r>
          <rPr>
            <sz val="9"/>
            <color indexed="81"/>
            <rFont val="Segoe UI"/>
            <family val="2"/>
          </rPr>
          <t xml:space="preserve">
</t>
        </r>
      </text>
    </comment>
    <comment ref="T81" authorId="0" shapeId="0" xr:uid="{AA77021B-4353-454C-B997-E0EDD125C4B4}">
      <text>
        <r>
          <rPr>
            <b/>
            <sz val="9"/>
            <color indexed="81"/>
            <rFont val="Segoe UI"/>
            <family val="2"/>
          </rPr>
          <t>Se completeaza manual cu suprafata incaperii.</t>
        </r>
        <r>
          <rPr>
            <sz val="9"/>
            <color indexed="81"/>
            <rFont val="Segoe UI"/>
            <family val="2"/>
          </rPr>
          <t xml:space="preserve">
</t>
        </r>
      </text>
    </comment>
    <comment ref="V81" authorId="0" shapeId="0" xr:uid="{042FA9EF-0091-4360-AB74-E7F077EDBE47}">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r>
          <rPr>
            <sz val="9"/>
            <color indexed="81"/>
            <rFont val="Segoe UI"/>
            <family val="2"/>
          </rPr>
          <t xml:space="preserve">
</t>
        </r>
      </text>
    </comment>
    <comment ref="W81" authorId="0" shapeId="0" xr:uid="{2BE82687-7679-4A56-8C31-B37A125F294A}">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text>
    </comment>
    <comment ref="X81" authorId="0" shapeId="0" xr:uid="{E739CBE9-D988-4C73-ABE1-AAA705AA79DE}">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text>
    </comment>
    <comment ref="Y81" authorId="0" shapeId="0" xr:uid="{6DD1DD48-A41F-4219-9CD1-12F71D4A072F}">
      <text>
        <r>
          <rPr>
            <b/>
            <sz val="9"/>
            <color indexed="81"/>
            <rFont val="Segoe UI"/>
            <family val="2"/>
          </rPr>
          <t>Se completeaza automat</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E21" authorId="0" shapeId="0" xr:uid="{00922A34-E26D-47F9-BE8F-3F693A35DDF7}">
      <text>
        <r>
          <rPr>
            <sz val="9"/>
            <color indexed="81"/>
            <rFont val="Segoe UI"/>
            <family val="2"/>
          </rPr>
          <t>Nu se sterge -este completata automat. Se va sterge doar daca se doreste ofertarea foliei de 100cm</t>
        </r>
      </text>
    </comment>
    <comment ref="E23" authorId="0" shapeId="0" xr:uid="{6958C144-7924-4EF7-99F8-521837890EC8}">
      <text>
        <r>
          <rPr>
            <b/>
            <sz val="9"/>
            <color indexed="81"/>
            <rFont val="Segoe UI"/>
            <family val="2"/>
          </rPr>
          <t>Nu se sterge -este completata automat. Se va sterge doar daca se doreste ofertarea foliei de 60cm</t>
        </r>
        <r>
          <rPr>
            <sz val="9"/>
            <color indexed="81"/>
            <rFont val="Segoe UI"/>
            <family val="2"/>
          </rPr>
          <t xml:space="preserve">
</t>
        </r>
      </text>
    </comment>
    <comment ref="E24" authorId="0" shapeId="0" xr:uid="{F11EB4F9-83A2-4C56-9647-272771096F4A}">
      <text>
        <r>
          <rPr>
            <b/>
            <sz val="9"/>
            <color indexed="81"/>
            <rFont val="Segoe UI"/>
            <family val="2"/>
          </rPr>
          <t>Lenovo:</t>
        </r>
        <r>
          <rPr>
            <sz val="9"/>
            <color indexed="81"/>
            <rFont val="Segoe UI"/>
            <family val="2"/>
          </rPr>
          <t xml:space="preserve">
nu se sterge -este completata automat</t>
        </r>
      </text>
    </comment>
    <comment ref="E25" authorId="0" shapeId="0" xr:uid="{590381B0-C415-44F2-B715-6CB232709A5A}">
      <text>
        <r>
          <rPr>
            <b/>
            <sz val="9"/>
            <color indexed="81"/>
            <rFont val="Segoe UI"/>
            <family val="2"/>
          </rPr>
          <t>Nu se sterge -este completata automat</t>
        </r>
      </text>
    </comment>
    <comment ref="E27" authorId="0" shapeId="0" xr:uid="{9868D65C-9C3C-4AF7-98F2-2988963FEA55}">
      <text>
        <r>
          <rPr>
            <b/>
            <sz val="9"/>
            <color indexed="81"/>
            <rFont val="Segoe UI"/>
            <family val="2"/>
          </rPr>
          <t>Se va lasa doar un singur model de termostat de care doreste clientul …restul se sterg.</t>
        </r>
        <r>
          <rPr>
            <sz val="9"/>
            <color indexed="81"/>
            <rFont val="Segoe UI"/>
            <family val="2"/>
          </rPr>
          <t xml:space="preserve">
</t>
        </r>
      </text>
    </comment>
    <comment ref="E34" authorId="0" shapeId="0" xr:uid="{C951367D-5C1D-4C31-8312-59463CBBFB21}">
      <text>
        <r>
          <rPr>
            <b/>
            <sz val="9"/>
            <color indexed="81"/>
            <rFont val="Segoe UI"/>
            <family val="2"/>
          </rPr>
          <t>Lenovo:</t>
        </r>
        <r>
          <rPr>
            <sz val="9"/>
            <color indexed="81"/>
            <rFont val="Segoe UI"/>
            <family val="2"/>
          </rPr>
          <t xml:space="preserve">
nu se sterge -este completata automat</t>
        </r>
      </text>
    </comment>
    <comment ref="E35" authorId="0" shapeId="0" xr:uid="{E5AEFB9E-79A9-4662-96D9-7A42934B063B}">
      <text>
        <r>
          <rPr>
            <b/>
            <sz val="9"/>
            <color indexed="81"/>
            <rFont val="Segoe UI"/>
            <family val="2"/>
          </rPr>
          <t>Lenovo:</t>
        </r>
        <r>
          <rPr>
            <sz val="9"/>
            <color indexed="81"/>
            <rFont val="Segoe UI"/>
            <family val="2"/>
          </rPr>
          <t xml:space="preserve">
nu se sterge -este completata automat</t>
        </r>
      </text>
    </comment>
    <comment ref="K59" authorId="0" shapeId="0" xr:uid="{EE41553B-2310-44FF-AD9E-0C0D40B3BE56}">
      <text>
        <r>
          <rPr>
            <b/>
            <sz val="9"/>
            <color indexed="81"/>
            <rFont val="Segoe UI"/>
            <family val="2"/>
          </rPr>
          <t>Se completeaza manual cu suprafata incaperii.</t>
        </r>
      </text>
    </comment>
    <comment ref="L59" authorId="0" shapeId="0" xr:uid="{C72F69F0-7D84-4E58-9407-88044345B8E0}">
      <text>
        <r>
          <rPr>
            <b/>
            <sz val="9"/>
            <color indexed="81"/>
            <rFont val="Segoe UI"/>
            <family val="2"/>
          </rPr>
          <t>Se calculeaza automat</t>
        </r>
        <r>
          <rPr>
            <sz val="9"/>
            <color indexed="81"/>
            <rFont val="Segoe UI"/>
            <family val="2"/>
          </rPr>
          <t xml:space="preserve">
</t>
        </r>
      </text>
    </comment>
    <comment ref="K62" authorId="0" shapeId="0" xr:uid="{AD6E4BBC-EB92-4951-AFC1-83DCD4599E57}">
      <text>
        <r>
          <rPr>
            <b/>
            <sz val="9"/>
            <color indexed="81"/>
            <rFont val="Segoe UI"/>
            <family val="2"/>
          </rPr>
          <t>Se completeaza manual cu suprafata incaperii.</t>
        </r>
      </text>
    </comment>
    <comment ref="L73" authorId="0" shapeId="0" xr:uid="{76DF0021-3E23-41C2-86B1-4896699D219C}">
      <text>
        <r>
          <rPr>
            <b/>
            <sz val="9"/>
            <color indexed="81"/>
            <rFont val="Segoe UI"/>
            <family val="2"/>
          </rPr>
          <t>Se calculeaza automat</t>
        </r>
        <r>
          <rPr>
            <sz val="9"/>
            <color indexed="81"/>
            <rFont val="Segoe UI"/>
            <family val="2"/>
          </rPr>
          <t xml:space="preserve">
</t>
        </r>
      </text>
    </comment>
    <comment ref="J86" authorId="0" shapeId="0" xr:uid="{8A2C5326-EA51-4657-AAF0-DE1957AF99BA}">
      <text>
        <r>
          <rPr>
            <b/>
            <sz val="9"/>
            <color indexed="81"/>
            <rFont val="Segoe UI"/>
            <family val="2"/>
          </rPr>
          <t>Lenovo:</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E22" authorId="0" shapeId="0" xr:uid="{2F834E89-348C-444B-88B2-52795024C639}">
      <text>
        <r>
          <rPr>
            <sz val="9"/>
            <color indexed="81"/>
            <rFont val="Segoe UI"/>
            <family val="2"/>
          </rPr>
          <t>nu se sterge -este completata automat - se va sterge daca se alege modelul de 140W/mp</t>
        </r>
      </text>
    </comment>
    <comment ref="E24" authorId="0" shapeId="0" xr:uid="{32C5B40B-21FF-4124-BC9B-138087F1DC15}">
      <text>
        <r>
          <rPr>
            <b/>
            <sz val="9"/>
            <color indexed="81"/>
            <rFont val="Segoe UI"/>
            <family val="2"/>
          </rPr>
          <t>nu se sterge -este completata automat; se va sterge daca se alege celalalt model de 120W/mp</t>
        </r>
        <r>
          <rPr>
            <sz val="9"/>
            <color indexed="81"/>
            <rFont val="Segoe UI"/>
            <family val="2"/>
          </rPr>
          <t xml:space="preserve">
</t>
        </r>
      </text>
    </comment>
    <comment ref="E25" authorId="0" shapeId="0" xr:uid="{63788552-452B-410F-848C-DF379A0D3C43}">
      <text>
        <r>
          <rPr>
            <b/>
            <sz val="9"/>
            <color indexed="81"/>
            <rFont val="Segoe UI"/>
            <family val="2"/>
          </rPr>
          <t>Lenovo:</t>
        </r>
        <r>
          <rPr>
            <sz val="9"/>
            <color indexed="81"/>
            <rFont val="Segoe UI"/>
            <family val="2"/>
          </rPr>
          <t xml:space="preserve">
nu se sterge -este completata automat</t>
        </r>
      </text>
    </comment>
    <comment ref="E26" authorId="0" shapeId="0" xr:uid="{BAF6B19D-E19B-4805-B55C-3322E2EDAD90}">
      <text>
        <r>
          <rPr>
            <b/>
            <sz val="9"/>
            <color indexed="81"/>
            <rFont val="Segoe UI"/>
            <family val="2"/>
          </rPr>
          <t>Nu se sterge -este completata automat</t>
        </r>
      </text>
    </comment>
    <comment ref="E53" authorId="0" shapeId="0" xr:uid="{1D5B78B9-FE74-458A-BD2A-4D4B939E5882}">
      <text>
        <r>
          <rPr>
            <b/>
            <sz val="9"/>
            <color indexed="81"/>
            <rFont val="Segoe UI"/>
            <family val="2"/>
          </rPr>
          <t>Lenovo:</t>
        </r>
        <r>
          <rPr>
            <sz val="9"/>
            <color indexed="81"/>
            <rFont val="Segoe UI"/>
            <family val="2"/>
          </rPr>
          <t xml:space="preserve">
nu se sterge -este completata automat</t>
        </r>
      </text>
    </comment>
    <comment ref="E54" authorId="0" shapeId="0" xr:uid="{A7F92EA3-1DDD-48B1-86E6-A7EDC89E29B2}">
      <text>
        <r>
          <rPr>
            <b/>
            <sz val="9"/>
            <color indexed="81"/>
            <rFont val="Segoe UI"/>
            <family val="2"/>
          </rPr>
          <t>Lenovo:</t>
        </r>
        <r>
          <rPr>
            <sz val="9"/>
            <color indexed="81"/>
            <rFont val="Segoe UI"/>
            <family val="2"/>
          </rPr>
          <t xml:space="preserve">
nu se sterge -este completata automat</t>
        </r>
      </text>
    </comment>
    <comment ref="E55" authorId="0" shapeId="0" xr:uid="{531A7110-E3D5-4BD7-8488-F13D870262B1}">
      <text>
        <r>
          <rPr>
            <b/>
            <sz val="9"/>
            <color indexed="81"/>
            <rFont val="Segoe UI"/>
            <family val="2"/>
          </rPr>
          <t xml:space="preserve">Se va sterge cantitatea la  izolatia Isoplate daca nu se doreste deloc sau doar cea care nu se doreste dintre cele doua.
</t>
        </r>
      </text>
    </comment>
    <comment ref="E56" authorId="0" shapeId="0" xr:uid="{41A4BF66-BBA3-46FC-86C3-24EF8EA844CA}">
      <text>
        <r>
          <rPr>
            <b/>
            <sz val="9"/>
            <color indexed="81"/>
            <rFont val="Segoe UI"/>
            <family val="2"/>
          </rPr>
          <t>Se va sterge cantitatea la  izolatia Isoplate daca nu se doreste deloc sau doar cea care nu se doreste dintre cele doua.</t>
        </r>
        <r>
          <rPr>
            <sz val="9"/>
            <color indexed="81"/>
            <rFont val="Segoe UI"/>
            <family val="2"/>
          </rPr>
          <t xml:space="preserve">
</t>
        </r>
      </text>
    </comment>
    <comment ref="K80" authorId="0" shapeId="0" xr:uid="{251F5934-8C5D-4B79-8D8C-05E15B23786F}">
      <text>
        <r>
          <rPr>
            <b/>
            <sz val="9"/>
            <color indexed="81"/>
            <rFont val="Segoe UI"/>
            <family val="2"/>
          </rPr>
          <t>Se completeaza manual cu suprafata incaperii.</t>
        </r>
        <r>
          <rPr>
            <sz val="9"/>
            <color indexed="81"/>
            <rFont val="Segoe UI"/>
            <family val="2"/>
          </rPr>
          <t xml:space="preserve">
</t>
        </r>
      </text>
    </comment>
    <comment ref="L80" authorId="0" shapeId="0" xr:uid="{41E18343-1B99-45C3-AA5E-137050408E43}">
      <text>
        <r>
          <rPr>
            <b/>
            <sz val="9"/>
            <color indexed="81"/>
            <rFont val="Segoe UI"/>
            <family val="2"/>
          </rPr>
          <t>Se completeaza automat</t>
        </r>
        <r>
          <rPr>
            <sz val="9"/>
            <color indexed="81"/>
            <rFont val="Segoe UI"/>
            <family val="2"/>
          </rPr>
          <t xml:space="preserve">
</t>
        </r>
      </text>
    </comment>
    <comment ref="N80" authorId="0" shapeId="0" xr:uid="{6833BC0E-16C9-42A5-AEFE-154F84F578B9}">
      <text>
        <r>
          <rPr>
            <b/>
            <sz val="9"/>
            <color indexed="81"/>
            <rFont val="Segoe UI"/>
            <family val="2"/>
          </rPr>
          <t>Se completeaza automat</t>
        </r>
        <r>
          <rPr>
            <sz val="9"/>
            <color indexed="81"/>
            <rFont val="Segoe UI"/>
            <family val="2"/>
          </rPr>
          <t xml:space="preserve">
</t>
        </r>
      </text>
    </comment>
    <comment ref="Q80" authorId="0" shapeId="0" xr:uid="{BEA3A907-3966-40EA-8D8A-B259FEAF89C0}">
      <text>
        <r>
          <rPr>
            <b/>
            <sz val="9"/>
            <color indexed="81"/>
            <rFont val="Segoe UI"/>
            <family val="2"/>
          </rPr>
          <t>Se completeaza manual cu suprafata incaperii.</t>
        </r>
        <r>
          <rPr>
            <sz val="9"/>
            <color indexed="81"/>
            <rFont val="Segoe UI"/>
            <family val="2"/>
          </rPr>
          <t xml:space="preserve">
</t>
        </r>
      </text>
    </comment>
    <comment ref="R80" authorId="0" shapeId="0" xr:uid="{EEA3115A-31B6-44A6-AD84-A8796738B622}">
      <text>
        <r>
          <rPr>
            <b/>
            <sz val="9"/>
            <color indexed="81"/>
            <rFont val="Segoe UI"/>
            <family val="2"/>
          </rPr>
          <t>Se completeaza automat</t>
        </r>
        <r>
          <rPr>
            <sz val="9"/>
            <color indexed="81"/>
            <rFont val="Segoe UI"/>
            <family val="2"/>
          </rPr>
          <t xml:space="preserve">
</t>
        </r>
      </text>
    </comment>
    <comment ref="S80" authorId="0" shapeId="0" xr:uid="{569E9A3E-0D82-4A5D-9A5F-BF53FF02BB35}">
      <text>
        <r>
          <rPr>
            <b/>
            <sz val="9"/>
            <color indexed="81"/>
            <rFont val="Segoe UI"/>
            <family val="2"/>
          </rPr>
          <t xml:space="preserve">Se alege si se pune manual o combinatie de suprafete, din tabelul din dreapta,pe cat se poate de apropiate, astfel incat suma lor sa se incadreze intre valorea cu rosu si valoarea cu negru a suprafetei incaperii corespunzatoare aceluiasi rand.
</t>
        </r>
        <r>
          <rPr>
            <sz val="9"/>
            <color indexed="81"/>
            <rFont val="Segoe UI"/>
            <family val="2"/>
          </rPr>
          <t xml:space="preserve">
</t>
        </r>
      </text>
    </comment>
    <comment ref="T80" authorId="0" shapeId="0" xr:uid="{8FDF5FC7-FA0D-4AFE-BACF-54CFCBC6DF76}">
      <text>
        <r>
          <rPr>
            <b/>
            <sz val="9"/>
            <color indexed="81"/>
            <rFont val="Segoe UI"/>
            <family val="2"/>
          </rPr>
          <t xml:space="preserve">Se alege si se pune manual o combinatie de suprafete, din tabelul din dreapta,pe cat se poate de apropiate, astfel incat suma lor sa se incadreze intre valorea cu rosu si valoarea cu negru a suprafetei incaperii corespunzatoare aceluiasi rand.
</t>
        </r>
        <r>
          <rPr>
            <sz val="9"/>
            <color indexed="81"/>
            <rFont val="Segoe UI"/>
            <family val="2"/>
          </rPr>
          <t xml:space="preserve">
</t>
        </r>
      </text>
    </comment>
    <comment ref="U80" authorId="0" shapeId="0" xr:uid="{9DE3BE26-E2A1-4959-9ABC-AB445494E98C}">
      <text>
        <r>
          <rPr>
            <b/>
            <sz val="9"/>
            <color indexed="81"/>
            <rFont val="Segoe UI"/>
            <family val="2"/>
          </rPr>
          <t xml:space="preserve">Se alege si se pune manual o combinatie de suprafete, din tabelul din dreapta,pe cat se poate de apropiate, astfel incat suma lor sa se incadreze intre valorea cu rosu si valoarea cu negru a suprafetei incaperii corespunzatoare aceluiasi rand.
</t>
        </r>
        <r>
          <rPr>
            <sz val="9"/>
            <color indexed="81"/>
            <rFont val="Segoe UI"/>
            <family val="2"/>
          </rPr>
          <t xml:space="preserve">
</t>
        </r>
      </text>
    </comment>
    <comment ref="V80" authorId="0" shapeId="0" xr:uid="{8C3A2C45-12FF-4522-BA2D-E489535558C2}">
      <text>
        <r>
          <rPr>
            <b/>
            <sz val="9"/>
            <color indexed="81"/>
            <rFont val="Segoe UI"/>
            <family val="2"/>
          </rPr>
          <t>Se completeaza automat</t>
        </r>
        <r>
          <rPr>
            <sz val="9"/>
            <color indexed="81"/>
            <rFont val="Segoe UI"/>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K58" authorId="0" shapeId="0" xr:uid="{4501AC71-F4F6-4B7D-89D3-7F76710DA911}">
      <text>
        <r>
          <rPr>
            <b/>
            <sz val="9"/>
            <color indexed="81"/>
            <rFont val="Segoe UI"/>
            <family val="2"/>
          </rPr>
          <t>Se completeaza manual cu suprafata incaperii.</t>
        </r>
        <r>
          <rPr>
            <sz val="9"/>
            <color indexed="81"/>
            <rFont val="Segoe UI"/>
            <family val="2"/>
          </rPr>
          <t xml:space="preserve">
</t>
        </r>
      </text>
    </comment>
    <comment ref="M58" authorId="0" shapeId="0" xr:uid="{01CA4D71-B3D1-471E-B1ED-182EFE29DFDA}">
      <text>
        <r>
          <rPr>
            <b/>
            <sz val="9"/>
            <color indexed="81"/>
            <rFont val="Segoe UI"/>
            <family val="2"/>
          </rPr>
          <t>Se alege si se pune manual o combinatie de lungimi, din tabelul din dreapta, astfel incat suma lor fie cat mai apropiata insa nu mai mare decat valoarea cu rosu a necesarului de cablu corespunzatoare aceluiasi rand.</t>
        </r>
        <r>
          <rPr>
            <sz val="9"/>
            <color indexed="81"/>
            <rFont val="Segoe UI"/>
            <family val="2"/>
          </rPr>
          <t xml:space="preserve">
</t>
        </r>
      </text>
    </comment>
    <comment ref="N58" authorId="0" shapeId="0" xr:uid="{08E4B421-1294-40A9-8F44-975E1CEEE277}">
      <text>
        <r>
          <rPr>
            <b/>
            <sz val="9"/>
            <color indexed="81"/>
            <rFont val="Segoe UI"/>
            <family val="2"/>
          </rPr>
          <t>Se alege si se pune manual o combinatie de lungimi, din tabelul din dreapta, astfel incat suma lor fie cat mai apropiata insa nu mai mare decat valoarea cu rosu a necesarului de cablu corespunzatoare aceluiasi rand.</t>
        </r>
        <r>
          <rPr>
            <sz val="9"/>
            <color indexed="81"/>
            <rFont val="Segoe UI"/>
            <family val="2"/>
          </rPr>
          <t xml:space="preserve">
</t>
        </r>
      </text>
    </comment>
    <comment ref="O58" authorId="0" shapeId="0" xr:uid="{27FA647C-FC5A-426C-ABCE-B7218026AC0D}">
      <text>
        <r>
          <rPr>
            <b/>
            <sz val="9"/>
            <color indexed="81"/>
            <rFont val="Segoe UI"/>
            <family val="2"/>
          </rPr>
          <t>Se alege si se pune manual o combinatie de lungimi, din tabelul din dreapta, astfel incat suma lor fie cat mai apropiata insa nu mai mare decat valoarea cu rosu a necesarului de cablu corespunzatoare aceluiasi rand.</t>
        </r>
        <r>
          <rPr>
            <sz val="9"/>
            <color indexed="81"/>
            <rFont val="Segoe UI"/>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E55" authorId="0" shapeId="0" xr:uid="{EE7E07ED-D19E-4627-BE0C-3F45E3CD4D3B}">
      <text>
        <r>
          <rPr>
            <b/>
            <sz val="9"/>
            <color indexed="81"/>
            <rFont val="Segoe UI"/>
            <family val="2"/>
          </rPr>
          <t>Se va sterge cantitatea la  izolatia Isoplate daca nu se doreste deloc sau doar cea care nu se doreste dintre cele doua.</t>
        </r>
        <r>
          <rPr>
            <sz val="9"/>
            <color indexed="81"/>
            <rFont val="Segoe UI"/>
            <family val="2"/>
          </rPr>
          <t xml:space="preserve">
</t>
        </r>
      </text>
    </comment>
    <comment ref="E56" authorId="0" shapeId="0" xr:uid="{C2C24951-B24E-4CB8-8F5C-DE2D05F3DBC6}">
      <text>
        <r>
          <rPr>
            <b/>
            <sz val="9"/>
            <color indexed="81"/>
            <rFont val="Segoe UI"/>
            <family val="2"/>
          </rPr>
          <t>Se va sterge cantitatea la  izolatia Isoplate daca nu se doreste deloc sau doar cea care nu se doreste dintre cele doua.</t>
        </r>
        <r>
          <rPr>
            <sz val="9"/>
            <color indexed="81"/>
            <rFont val="Segoe UI"/>
            <family val="2"/>
          </rPr>
          <t xml:space="preserve">
</t>
        </r>
      </text>
    </comment>
    <comment ref="K77" authorId="0" shapeId="0" xr:uid="{F5A55911-7210-4005-8D67-EA94560483D8}">
      <text>
        <r>
          <rPr>
            <b/>
            <sz val="9"/>
            <color indexed="81"/>
            <rFont val="Segoe UI"/>
            <family val="2"/>
          </rPr>
          <t>Se completeaza manual cu suprafata incaperii.</t>
        </r>
        <r>
          <rPr>
            <sz val="9"/>
            <color indexed="81"/>
            <rFont val="Segoe UI"/>
            <family val="2"/>
          </rPr>
          <t xml:space="preserve">
</t>
        </r>
      </text>
    </comment>
    <comment ref="M77" authorId="0" shapeId="0" xr:uid="{0BEF4F4C-B97B-44D6-B429-40D4DCD6B828}">
      <text>
        <r>
          <rPr>
            <b/>
            <sz val="9"/>
            <color indexed="81"/>
            <rFont val="Segoe UI"/>
            <family val="2"/>
          </rPr>
          <t>Se alege si se pune manual o combinatie de lungimi, din tabelul din dreapta, astfel incat suma lor fie cat mai apropiata insa nu mai mare decat valoarea cu rosu a necesarului de cablu corespunzatoare aceluiasi rand.</t>
        </r>
        <r>
          <rPr>
            <sz val="9"/>
            <color indexed="81"/>
            <rFont val="Segoe UI"/>
            <family val="2"/>
          </rPr>
          <t xml:space="preserve">
</t>
        </r>
      </text>
    </comment>
    <comment ref="N77" authorId="0" shapeId="0" xr:uid="{4B9AEE5C-2F23-4436-8818-124B28D33445}">
      <text>
        <r>
          <rPr>
            <sz val="9"/>
            <color indexed="81"/>
            <rFont val="Segoe UI"/>
            <family val="2"/>
          </rPr>
          <t xml:space="preserve">Se alege si se pune manual o combinatie de lungimi, din tabelul din dreapta, astfel incat suma lor fie cat mai apropiata insa nu mai mare decat valoarea cu rosu a necesarului de cablu corespunzatoare aceluiasi rand.
</t>
        </r>
      </text>
    </comment>
    <comment ref="O77" authorId="0" shapeId="0" xr:uid="{881B866A-EF39-4708-BD58-CA690B6C6D59}">
      <text>
        <r>
          <rPr>
            <b/>
            <sz val="9"/>
            <color indexed="81"/>
            <rFont val="Segoe UI"/>
            <family val="2"/>
          </rPr>
          <t>Se alege si se pune manual o combinatie de lungimi, din tabelul din dreapta, astfel incat suma lor fie cat mai apropiata insa nu mai mare decat valoarea cu rosu a necesarului de cablu corespunzatoare aceluiasi rand.</t>
        </r>
      </text>
    </comment>
    <comment ref="S77" authorId="0" shapeId="0" xr:uid="{D9ED178D-1D23-4220-8874-E082109512EA}">
      <text>
        <r>
          <rPr>
            <b/>
            <sz val="9"/>
            <color indexed="81"/>
            <rFont val="Segoe UI"/>
            <family val="2"/>
          </rPr>
          <t>Se pot inlocui denumirile destinatiilor camerelor cu denumirile din plan.</t>
        </r>
        <r>
          <rPr>
            <sz val="9"/>
            <color indexed="81"/>
            <rFont val="Segoe UI"/>
            <family val="2"/>
          </rPr>
          <t xml:space="preserve">
</t>
        </r>
      </text>
    </comment>
    <comment ref="T77" authorId="0" shapeId="0" xr:uid="{CD71160A-F607-4191-8AC3-6F4A24A20C5E}">
      <text>
        <r>
          <rPr>
            <sz val="9"/>
            <color indexed="81"/>
            <rFont val="Segoe UI"/>
            <family val="2"/>
          </rPr>
          <t xml:space="preserve">
Se completeaza manual cu suprafata incaperii.</t>
        </r>
      </text>
    </comment>
    <comment ref="V77" authorId="0" shapeId="0" xr:uid="{631B72E8-7E07-4A31-B754-D4CDD5971E52}">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r>
          <rPr>
            <sz val="9"/>
            <color indexed="81"/>
            <rFont val="Segoe UI"/>
            <family val="2"/>
          </rPr>
          <t xml:space="preserve">
</t>
        </r>
      </text>
    </comment>
    <comment ref="W77" authorId="0" shapeId="0" xr:uid="{62410A2A-7394-4B21-B5FB-A259BE53D906}">
      <text>
        <r>
          <rPr>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text>
    </comment>
    <comment ref="X77" authorId="0" shapeId="0" xr:uid="{DA802F0B-FE4C-4CD9-B6E6-7F1AA57CE0EE}">
      <text>
        <r>
          <rPr>
            <b/>
            <sz val="9"/>
            <color indexed="81"/>
            <rFont val="Segoe UI"/>
            <family val="2"/>
          </rPr>
          <t xml:space="preserve">Se alege si se pune manual o combinatie de suprafete de covoras [mp] din tabelul din dreapta,pe cat se poate de apropiate, astfel incat suma lor sa se incadreze intre valoarea cu rosu si maximum valoarea suprafetei incaperii corespunzatoare aceluiasi rand.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K52" authorId="0" shapeId="0" xr:uid="{E3EFC666-4D35-4E10-AF8D-D9FB6E52E416}">
      <text>
        <r>
          <rPr>
            <b/>
            <sz val="9"/>
            <color indexed="81"/>
            <rFont val="Segoe UI"/>
            <family val="2"/>
          </rPr>
          <t>Se completeaza manual cu suprafata incaperii.</t>
        </r>
        <r>
          <rPr>
            <sz val="9"/>
            <color indexed="81"/>
            <rFont val="Segoe UI"/>
            <family val="2"/>
          </rPr>
          <t xml:space="preserve">
</t>
        </r>
      </text>
    </comment>
    <comment ref="L52" authorId="0" shapeId="0" xr:uid="{C4D0AAF8-35DA-4B4F-804F-37ED07D88828}">
      <text>
        <r>
          <rPr>
            <b/>
            <sz val="9"/>
            <color indexed="81"/>
            <rFont val="Segoe UI"/>
            <family val="2"/>
          </rPr>
          <t>Se completeaza automat</t>
        </r>
      </text>
    </comment>
    <comment ref="M52" authorId="0" shapeId="0" xr:uid="{6CEE4119-7A6A-4F76-AF19-B5D9AC1041A1}">
      <text>
        <r>
          <rPr>
            <b/>
            <sz val="9"/>
            <color indexed="81"/>
            <rFont val="Segoe UI"/>
            <family val="2"/>
          </rPr>
          <t>Lenovo:</t>
        </r>
        <r>
          <rPr>
            <sz val="9"/>
            <color indexed="81"/>
            <rFont val="Segoe UI"/>
            <family val="2"/>
          </rPr>
          <t xml:space="preserve">
se completeaza automat</t>
        </r>
      </text>
    </comment>
    <comment ref="N52" authorId="0" shapeId="0" xr:uid="{6B6811F6-3F19-4B3D-A118-FFC9429342A1}">
      <text>
        <r>
          <rPr>
            <b/>
            <sz val="9"/>
            <color indexed="81"/>
            <rFont val="Segoe UI"/>
            <family val="2"/>
          </rPr>
          <t>Lenovo:</t>
        </r>
        <r>
          <rPr>
            <sz val="9"/>
            <color indexed="81"/>
            <rFont val="Segoe UI"/>
            <family val="2"/>
          </rPr>
          <t xml:space="preserve">
se completeaza automat</t>
        </r>
      </text>
    </comment>
  </commentList>
</comments>
</file>

<file path=xl/sharedStrings.xml><?xml version="1.0" encoding="utf-8"?>
<sst xmlns="http://schemas.openxmlformats.org/spreadsheetml/2006/main" count="1857" uniqueCount="421">
  <si>
    <t>Buna ziua,</t>
  </si>
  <si>
    <t xml:space="preserve">Nr. </t>
  </si>
  <si>
    <t>Crt.</t>
  </si>
  <si>
    <t>Cod</t>
  </si>
  <si>
    <t>Descriere</t>
  </si>
  <si>
    <t>UM</t>
  </si>
  <si>
    <t>Cant.</t>
  </si>
  <si>
    <t>Pret unitar</t>
  </si>
  <si>
    <t>[EUR fara TVA]</t>
  </si>
  <si>
    <t>Pret total</t>
  </si>
  <si>
    <t>buc.</t>
  </si>
  <si>
    <t>SC Magnum Heating SRL</t>
  </si>
  <si>
    <t xml:space="preserve">www.magnumheating.ro </t>
  </si>
  <si>
    <t>Email:</t>
  </si>
  <si>
    <t xml:space="preserve">     </t>
  </si>
  <si>
    <r>
      <t>Telefon:</t>
    </r>
    <r>
      <rPr>
        <sz val="9"/>
        <color theme="1"/>
        <rFont val="Verdana"/>
        <family val="2"/>
      </rPr>
      <t xml:space="preserve"> </t>
    </r>
  </si>
  <si>
    <t>TOTAL OFERTA [EUR fara TVA]</t>
  </si>
  <si>
    <t>TOTAL OFERTA cu REDUCERE [EUR cu TVA]</t>
  </si>
  <si>
    <r>
      <t>Nota</t>
    </r>
    <r>
      <rPr>
        <sz val="9"/>
        <color theme="1"/>
        <rFont val="Verdana"/>
        <family val="2"/>
      </rPr>
      <t xml:space="preserve">: </t>
    </r>
  </si>
  <si>
    <r>
      <t xml:space="preserve">Producator Magnum Heating Olanda: </t>
    </r>
    <r>
      <rPr>
        <sz val="9"/>
        <color theme="1"/>
        <rFont val="Verdana"/>
        <family val="2"/>
      </rPr>
      <t>http://www.magnumheating.com/</t>
    </r>
  </si>
  <si>
    <r>
      <t>Garantie</t>
    </r>
    <r>
      <rPr>
        <sz val="9"/>
        <color theme="1"/>
        <rFont val="Verdana"/>
        <family val="2"/>
      </rPr>
      <t>:10 ani cablu, 2 ani automatizare.</t>
    </r>
  </si>
  <si>
    <r>
      <t>Valabilitate oferta</t>
    </r>
    <r>
      <rPr>
        <sz val="9"/>
        <color theme="1"/>
        <rFont val="Verdana"/>
        <family val="2"/>
      </rPr>
      <t>: 3 luni</t>
    </r>
  </si>
  <si>
    <r>
      <t>Livrare</t>
    </r>
    <r>
      <rPr>
        <sz val="9"/>
        <color theme="1"/>
        <rFont val="Verdana"/>
        <family val="2"/>
      </rPr>
      <t xml:space="preserve"> din stoc. Reperele care nu sunt pe stoc, se vor livra in maxim 7 zile lucratoare de la data comenzii.</t>
    </r>
  </si>
  <si>
    <t>Telefon:</t>
  </si>
  <si>
    <r>
      <t xml:space="preserve">Va multumim pentru cererea de oferta si va prezentam mai jos propunerea noastra pentru sistemul de incalzire prin pardoseala </t>
    </r>
    <r>
      <rPr>
        <b/>
        <sz val="9"/>
        <color theme="1"/>
        <rFont val="Verdana"/>
        <family val="2"/>
      </rPr>
      <t xml:space="preserve">Magnum Heating - Olanda </t>
    </r>
  </si>
  <si>
    <t>MAGNUM Cable 1500 W - 88,2 m</t>
  </si>
  <si>
    <t xml:space="preserve">MAGNUM Cable 300 W - 17,6 m </t>
  </si>
  <si>
    <t xml:space="preserve">MAGNUM Cable 3300 W - 194,1 m </t>
  </si>
  <si>
    <t>rola</t>
  </si>
  <si>
    <r>
      <t>Suprafata totala (m</t>
    </r>
    <r>
      <rPr>
        <b/>
        <sz val="9"/>
        <color theme="1"/>
        <rFont val="Calibri"/>
        <family val="2"/>
      </rPr>
      <t>²</t>
    </r>
    <r>
      <rPr>
        <b/>
        <sz val="9"/>
        <color theme="1"/>
        <rFont val="Verdana"/>
        <family val="2"/>
      </rPr>
      <t>)</t>
    </r>
  </si>
  <si>
    <t>Covor incalzire in pardoseala 1 m² - 150 W</t>
  </si>
  <si>
    <t>Covor incalzire in pardoseala 1,5 m² - 225 W</t>
  </si>
  <si>
    <t>Covor incalzire in pardoseala 2 m² - 300 W</t>
  </si>
  <si>
    <t>Covor incalzire in pardoseala 2,5 m² - 375 W</t>
  </si>
  <si>
    <t>Covor incalzire in pardoseala 3 m² - 450 W</t>
  </si>
  <si>
    <t>Covor incalzire in pardoseala 3,5 m² - 525 W</t>
  </si>
  <si>
    <t>Covor incalzire in pardoseala 4 m² - 600 W</t>
  </si>
  <si>
    <t>Covor incalzire in pardoseala 4,5 m² - 675 W</t>
  </si>
  <si>
    <t>Covor incalzire in pardoseala 5 m² - 750 W</t>
  </si>
  <si>
    <t>Covor incalzire in pardoseala 6 m² - 900 W</t>
  </si>
  <si>
    <t>Covor incalzire in pardoseala 7 m² - 1050 W</t>
  </si>
  <si>
    <t>Covor incalzire in pardoseala 8 m² - 1200 W</t>
  </si>
  <si>
    <t>Covor incalzire in pardoseala 9 m² - 1350 W</t>
  </si>
  <si>
    <t>Covor incalzire in pardoseala 10 m² - 1500 W</t>
  </si>
  <si>
    <t>Covor incalzire in pardoseala 12 m² - 1800 W C&amp;F</t>
  </si>
  <si>
    <t xml:space="preserve">Covor incalzire in pardoseala 15 m² - 2250 W C&amp;F </t>
  </si>
  <si>
    <t xml:space="preserve">Covor incalzire in pardoseala 20 m² - 3000 W C&amp;F </t>
  </si>
  <si>
    <t xml:space="preserve">Covor incalzire in pardoseala aluminiu 1 m² - 140 W </t>
  </si>
  <si>
    <t>Covor incalzire in pardoseala aluminiu 2 m² - 280 W</t>
  </si>
  <si>
    <t>Covor incalzire in pardoseala aluminiu 3 m² - 420 W</t>
  </si>
  <si>
    <t>Covor incalzire in pardoseala aluminiu 4 m² - 560 W</t>
  </si>
  <si>
    <t>Covor incalzire in pardoseala aluminiu 5 m² - 700 W</t>
  </si>
  <si>
    <t>Covor incalzire in pardoseala aluminiu 6 m² - 840 W</t>
  </si>
  <si>
    <t>Covor incalzire in pardoseala aluminiu 7 m² - 980 W</t>
  </si>
  <si>
    <t>Covor incalzire in pardoseala aluminiu 8 m² - 1120 W</t>
  </si>
  <si>
    <t>Covor incalzire in pardoseala aluminiu 9 m² - 1260 W</t>
  </si>
  <si>
    <t>Covor incalzire in pardoseala aluminiu 10 m² - 1400 W</t>
  </si>
  <si>
    <t>set</t>
  </si>
  <si>
    <t>Set conexiune folie MAGNUM pentru 10 m² folie</t>
  </si>
  <si>
    <r>
      <t xml:space="preserve">Termostat analogic </t>
    </r>
    <r>
      <rPr>
        <b/>
        <sz val="9"/>
        <color theme="1"/>
        <rFont val="Verdana"/>
        <family val="2"/>
      </rPr>
      <t>MTH 811</t>
    </r>
    <r>
      <rPr>
        <sz val="9"/>
        <color theme="1"/>
        <rFont val="Verdana"/>
        <family val="2"/>
      </rPr>
      <t>, cu senzor de pardoseala inclus, 16 A/230 V (montaj aparent)</t>
    </r>
  </si>
  <si>
    <t>Materiale incalzire electrica prin pardoseala</t>
  </si>
  <si>
    <r>
      <t>1. Oferta prezentata este estimativa si nu tine loc de proiect. Aceasta se poate modifica in functie de situatia reala sau in functie de calculul din proiect.</t>
    </r>
    <r>
      <rPr>
        <b/>
        <sz val="9"/>
        <color theme="1"/>
        <rFont val="Verdana"/>
        <family val="2"/>
      </rPr>
      <t xml:space="preserve"> </t>
    </r>
  </si>
  <si>
    <r>
      <t xml:space="preserve">Va multumim pentru cererea de oferta si va prezentam mai jos propunerea noastra pentru sistemul de incalzire prin pardoseala </t>
    </r>
    <r>
      <rPr>
        <b/>
        <sz val="9"/>
        <color theme="1"/>
        <rFont val="Verdana"/>
        <family val="2"/>
      </rPr>
      <t xml:space="preserve">Magnum Heating - Olanda. </t>
    </r>
  </si>
  <si>
    <t>[W]</t>
  </si>
  <si>
    <t xml:space="preserve">Necesar
incapere </t>
  </si>
  <si>
    <r>
      <t xml:space="preserve">Va multumim pentru cererea de oferta si va prezentam mai jos propunerea noastra pentru sistemul de incalzire prin pardoseala </t>
    </r>
    <r>
      <rPr>
        <b/>
        <sz val="9"/>
        <color theme="1"/>
        <rFont val="Verdana"/>
        <family val="2"/>
      </rPr>
      <t>Magnum Heating - Olanda.</t>
    </r>
  </si>
  <si>
    <t>x</t>
  </si>
  <si>
    <t>REDUCERE PENTRU PLATA IN AVANS [EUR fara TVA]</t>
  </si>
  <si>
    <t>Termostate pentru incalzirea electrica prin pardoseala</t>
  </si>
  <si>
    <t xml:space="preserve">Necesar/
cabluri
</t>
  </si>
  <si>
    <t>Termostate pentru incalzirea electrica prin pardoseala Magnum si accesorii</t>
  </si>
  <si>
    <t>Denumire
incapere</t>
  </si>
  <si>
    <t>Banda metalica fixare cablu 10 m - optional</t>
  </si>
  <si>
    <t>hol</t>
  </si>
  <si>
    <t>vestibul</t>
  </si>
  <si>
    <t>dormitor</t>
  </si>
  <si>
    <t>birou</t>
  </si>
  <si>
    <t>baie</t>
  </si>
  <si>
    <t>Termostate</t>
  </si>
  <si>
    <t>parter</t>
  </si>
  <si>
    <t>living</t>
  </si>
  <si>
    <t>dining</t>
  </si>
  <si>
    <t>liv.+dining</t>
  </si>
  <si>
    <t>bucatarie</t>
  </si>
  <si>
    <t>etaj</t>
  </si>
  <si>
    <t>casa sc.</t>
  </si>
  <si>
    <t>hol+scara</t>
  </si>
  <si>
    <t>scara</t>
  </si>
  <si>
    <t xml:space="preserve"> </t>
  </si>
  <si>
    <t>Cablu incalzire in pardoseala 100 W - 10 m</t>
  </si>
  <si>
    <t>Cablu incalzire in pardoseala 200 W - 20 m</t>
  </si>
  <si>
    <t>Cablu incalzire in pardoseala 300 W - 30 m</t>
  </si>
  <si>
    <t>Cablu incalzire in pardoseala 600 W - 60 m</t>
  </si>
  <si>
    <t>Cablu incalzire in pardoseala 800 W - 80 m</t>
  </si>
  <si>
    <t>Cablu incalzire in pardoseala 1000 W - 100 m</t>
  </si>
  <si>
    <t>Cablu incalzire in pardoseala 1200 W - 120 m</t>
  </si>
  <si>
    <t>Cablu incalzire in pardoseala 1500 W - 150 m</t>
  </si>
  <si>
    <t>Cablu incalzire in pardoseala 1900 W - 190 m</t>
  </si>
  <si>
    <t xml:space="preserve">Sistem uscat Heatboard electric 12mm (izolatie polistiren cu aluminiu)pentru cablu10 W/ml </t>
  </si>
  <si>
    <t xml:space="preserve">Izolatie polistiren cu aluminiu  12 mm / 11 placi 78x58 cm 
- 5 mp / pachet </t>
  </si>
  <si>
    <t>MTH811</t>
  </si>
  <si>
    <t>C16</t>
  </si>
  <si>
    <t>MRC</t>
  </si>
  <si>
    <r>
      <t xml:space="preserve">Cronotermostat MAGNUM </t>
    </r>
    <r>
      <rPr>
        <b/>
        <sz val="9"/>
        <color theme="1"/>
        <rFont val="Verdana"/>
        <family val="2"/>
      </rPr>
      <t xml:space="preserve">F32 - WIFi Control </t>
    </r>
    <r>
      <rPr>
        <sz val="9"/>
        <color theme="1"/>
        <rFont val="Verdana"/>
        <family val="2"/>
      </rPr>
      <t>, cu senzor de pardoseala inclus (montaj in doza)</t>
    </r>
  </si>
  <si>
    <r>
      <t xml:space="preserve">Izolatie MAGNUM </t>
    </r>
    <r>
      <rPr>
        <b/>
        <sz val="9"/>
        <color theme="1"/>
        <rFont val="Verdana"/>
        <family val="2"/>
      </rPr>
      <t>PS 6</t>
    </r>
    <r>
      <rPr>
        <sz val="9"/>
        <color theme="1"/>
        <rFont val="Verdana"/>
        <family val="2"/>
      </rPr>
      <t xml:space="preserve"> m² (10 buc. de 120 x 50 x 0,6 cm)</t>
    </r>
  </si>
  <si>
    <r>
      <t xml:space="preserve">Izolatie MAGNUM </t>
    </r>
    <r>
      <rPr>
        <b/>
        <sz val="9"/>
        <color theme="1"/>
        <rFont val="Verdana"/>
        <family val="2"/>
      </rPr>
      <t>PS 6</t>
    </r>
    <r>
      <rPr>
        <sz val="9"/>
        <color theme="1"/>
        <rFont val="Verdana"/>
        <family val="2"/>
      </rPr>
      <t xml:space="preserve"> m² (10 buc. de 80 x 62 x 0,5 cm)</t>
    </r>
  </si>
  <si>
    <r>
      <t>3. Puterea instalata necesara pentru sistemul de incalzire in</t>
    </r>
    <r>
      <rPr>
        <b/>
        <sz val="9"/>
        <color theme="1"/>
        <rFont val="Verdana"/>
        <family val="2"/>
      </rPr>
      <t xml:space="preserve"> [ kW ]</t>
    </r>
    <r>
      <rPr>
        <sz val="9"/>
        <color theme="1"/>
        <rFont val="Verdana"/>
        <family val="2"/>
      </rPr>
      <t xml:space="preserve">  =</t>
    </r>
  </si>
  <si>
    <t>Termost</t>
  </si>
  <si>
    <r>
      <t xml:space="preserve">Dispozitiv de sertizare pentru MAGNUM Foil - </t>
    </r>
    <r>
      <rPr>
        <b/>
        <sz val="9"/>
        <color theme="1"/>
        <rFont val="Verdana"/>
        <family val="2"/>
      </rPr>
      <t>optional</t>
    </r>
  </si>
  <si>
    <r>
      <t>Livrare</t>
    </r>
    <r>
      <rPr>
        <sz val="9"/>
        <color theme="1"/>
        <rFont val="Verdana"/>
        <family val="2"/>
      </rPr>
      <t xml:space="preserve"> din stoc. </t>
    </r>
  </si>
  <si>
    <t>FILM</t>
  </si>
  <si>
    <t xml:space="preserve"> mp / rola</t>
  </si>
  <si>
    <t xml:space="preserve"> Panouri Radiante Infrarosu </t>
  </si>
  <si>
    <t>Panou Radiant infrarosu  59 x 59 x 4 cm, 300 W</t>
  </si>
  <si>
    <t xml:space="preserve">Catre: </t>
  </si>
  <si>
    <t>terasa</t>
  </si>
  <si>
    <t>In atentia: D-lui Danciu</t>
  </si>
  <si>
    <t xml:space="preserve">MAGNUM Cable 500 W - 29,4 m </t>
  </si>
  <si>
    <t xml:space="preserve">MAGNUM Cable 700 W - 41,2 m </t>
  </si>
  <si>
    <t xml:space="preserve">MAGNUM Cable 1000 W - 58,8 m </t>
  </si>
  <si>
    <t>MAGNUM Cable 1250 W - 73,5 m</t>
  </si>
  <si>
    <t>MAGNUM Cable 1700 W - 100 m</t>
  </si>
  <si>
    <t xml:space="preserve">MAGNUM Cable 2100 W - 123,5 m </t>
  </si>
  <si>
    <t xml:space="preserve">MAGNUM Cable 2600 W - 152,9 m </t>
  </si>
  <si>
    <t>MAGNUM Cable 2900 W - 170,6 m</t>
  </si>
  <si>
    <t xml:space="preserve">living </t>
  </si>
  <si>
    <t>Suprf. incapare</t>
  </si>
  <si>
    <t>[KW]</t>
  </si>
  <si>
    <t>[buc.]</t>
  </si>
  <si>
    <t>[mp]</t>
  </si>
  <si>
    <r>
      <t xml:space="preserve">Va multumim pentru cererea de oferta si va prezentam mai jos propunerea noastra pentru  sistemul de incalzire prin pardoseala </t>
    </r>
    <r>
      <rPr>
        <b/>
        <sz val="9"/>
        <color theme="1"/>
        <rFont val="Verdana"/>
        <family val="2"/>
      </rPr>
      <t xml:space="preserve">Magnum Heating - Olanda. </t>
    </r>
  </si>
  <si>
    <t xml:space="preserve">Localitate: </t>
  </si>
  <si>
    <t xml:space="preserve">In atentia: </t>
  </si>
  <si>
    <t>Banda perimetrala 15 cm x 8 mm (25 m)</t>
  </si>
  <si>
    <t xml:space="preserve">Cablu incalzire in pardoseala 400 W - 40 m </t>
  </si>
  <si>
    <t>Izolatie Isorol 3 mm, 20 m x 1.2 m (24 mp) cu folie aluminiu</t>
  </si>
  <si>
    <r>
      <t>Localitate</t>
    </r>
    <r>
      <rPr>
        <sz val="9"/>
        <color theme="1"/>
        <rFont val="Verdana"/>
        <family val="2"/>
      </rPr>
      <t xml:space="preserve">: </t>
    </r>
  </si>
  <si>
    <t>Termostate si accesorii pentru incalzirea electrica prin pardoseala</t>
  </si>
  <si>
    <t>Termostate si accesorii pentru incalzirea electrica prin pardoseala Magnum</t>
  </si>
  <si>
    <t>Suprf. cov. 1
catalog [mp]</t>
  </si>
  <si>
    <t>Suprf. cov. 2
catalog [mp]</t>
  </si>
  <si>
    <t>Suprf. cov. 3
catalog [mp]</t>
  </si>
  <si>
    <t>Suprf. incapere</t>
  </si>
  <si>
    <t>Suprf.
 incapere</t>
  </si>
  <si>
    <t>Cablu incalzire pardoseala - 10 W/ml, 7 mm grosime, montaj sapa</t>
  </si>
  <si>
    <t>Cablu incalzire pardoseala - 17 W/ml, 7 mm grosime, montaj sapa</t>
  </si>
  <si>
    <t xml:space="preserve">Covor incalzire pardoseala aluminiu parchet  140 W/m² (50 cm latime), 3 mm grosime  </t>
  </si>
  <si>
    <r>
      <t>Localitate</t>
    </r>
    <r>
      <rPr>
        <sz val="9"/>
        <color theme="1"/>
        <rFont val="Verdana"/>
        <family val="2"/>
      </rPr>
      <t>:</t>
    </r>
  </si>
  <si>
    <t>Suprf.
incapere
[mp]</t>
  </si>
  <si>
    <t>Catre:</t>
  </si>
  <si>
    <t xml:space="preserve"> mp</t>
  </si>
  <si>
    <t>Suprf cov.
catalog [W]</t>
  </si>
  <si>
    <t xml:space="preserve">1 m² </t>
  </si>
  <si>
    <t xml:space="preserve">2 m² </t>
  </si>
  <si>
    <t xml:space="preserve">3 m² </t>
  </si>
  <si>
    <t xml:space="preserve">4 m² </t>
  </si>
  <si>
    <t>5 m²</t>
  </si>
  <si>
    <t xml:space="preserve">6 m² </t>
  </si>
  <si>
    <t>7 m²</t>
  </si>
  <si>
    <t xml:space="preserve">8 m² </t>
  </si>
  <si>
    <t xml:space="preserve">9 m² </t>
  </si>
  <si>
    <t xml:space="preserve">10 m² </t>
  </si>
  <si>
    <t>Suprf. cov. 1
alumin
 [mp]</t>
  </si>
  <si>
    <t>Suprf.
 camera</t>
  </si>
  <si>
    <t>1 m²</t>
  </si>
  <si>
    <t>1,5 m²</t>
  </si>
  <si>
    <t xml:space="preserve">2,5 m² </t>
  </si>
  <si>
    <t>3,5 m²</t>
  </si>
  <si>
    <t>4 m²</t>
  </si>
  <si>
    <t xml:space="preserve">4,5 m² </t>
  </si>
  <si>
    <t>6 m²</t>
  </si>
  <si>
    <t>10 m²</t>
  </si>
  <si>
    <t xml:space="preserve">12 m² </t>
  </si>
  <si>
    <t xml:space="preserve">15 m²  </t>
  </si>
  <si>
    <t xml:space="preserve">20 m² </t>
  </si>
  <si>
    <r>
      <t xml:space="preserve">Necesar
mp cov./
camera  </t>
    </r>
    <r>
      <rPr>
        <b/>
        <sz val="8"/>
        <color rgb="FFFF0000"/>
        <rFont val="Verdana"/>
        <family val="2"/>
      </rPr>
      <t>135
W/mp</t>
    </r>
  </si>
  <si>
    <t>Suprf. cov. 2
 catalog [mp]</t>
  </si>
  <si>
    <t>Suprf. cov. 3
 catalog [mp]</t>
  </si>
  <si>
    <t>Termostat</t>
  </si>
  <si>
    <t>COVORAS ALUMINIU - PARCHET</t>
  </si>
  <si>
    <t>COVORAS ADEZIV GRESIE</t>
  </si>
  <si>
    <t xml:space="preserve">                                                         </t>
  </si>
  <si>
    <t>https://www.youtube.com/watch?v=sQn3_4sojD8</t>
  </si>
  <si>
    <t>https://www.youtube.com/watch?v=HiadbKfJ80E&amp;t=22s</t>
  </si>
  <si>
    <t>FILM - PARCHET</t>
  </si>
  <si>
    <r>
      <t xml:space="preserve">Necesar mp. cov.
incapere la </t>
    </r>
    <r>
      <rPr>
        <b/>
        <sz val="9"/>
        <color rgb="FFFF0000"/>
        <rFont val="Verdana"/>
        <family val="2"/>
      </rPr>
      <t>135W/mp</t>
    </r>
  </si>
  <si>
    <r>
      <t>Suprafata totala [m</t>
    </r>
    <r>
      <rPr>
        <b/>
        <sz val="9"/>
        <color theme="1"/>
        <rFont val="Calibri"/>
        <family val="2"/>
      </rPr>
      <t>²]</t>
    </r>
  </si>
  <si>
    <t>Suprf.
 Incapere</t>
  </si>
  <si>
    <r>
      <t xml:space="preserve">Necesar
mp cov.
/
incapere </t>
    </r>
    <r>
      <rPr>
        <b/>
        <sz val="8"/>
        <color rgb="FFFF0000"/>
        <rFont val="Verdana"/>
        <family val="2"/>
      </rPr>
      <t>135
W/mp</t>
    </r>
  </si>
  <si>
    <r>
      <t xml:space="preserve">Necesar
mp cov./
incapere </t>
    </r>
    <r>
      <rPr>
        <b/>
        <sz val="8"/>
        <color rgb="FFFF0000"/>
        <rFont val="Verdana"/>
        <family val="2"/>
      </rPr>
      <t>135
W/mp</t>
    </r>
  </si>
  <si>
    <r>
      <t>Suprafata totala
 [m</t>
    </r>
    <r>
      <rPr>
        <b/>
        <sz val="9"/>
        <color theme="1"/>
        <rFont val="Calibri"/>
        <family val="2"/>
      </rPr>
      <t>²]</t>
    </r>
  </si>
  <si>
    <t xml:space="preserve">Cablu incalzire in pardoseala 10 W / ml , 300 W , 30 ml / 3.4 mp </t>
  </si>
  <si>
    <t xml:space="preserve">Cablu incalzire in pardoseala 10 W / ml , 1500 W , 150 ml / 16.7 mp </t>
  </si>
  <si>
    <t xml:space="preserve">Cablu incalzire in pardoseala 10 W / ml , 1200 W , 120 ml / 13.4mp </t>
  </si>
  <si>
    <t xml:space="preserve">Cablu incalzire in pardoseala 10 W / ml , 1000 W , 100 ml / 11.2 mp </t>
  </si>
  <si>
    <t xml:space="preserve">Cablu incalzire in pardoseala 10 W / ml , 800 W , 80 ml / 8.9 mp </t>
  </si>
  <si>
    <t xml:space="preserve">Cablu incalzire in pardoseala 10 W / ml , 500 W , 50 ml / 5.6 mp </t>
  </si>
  <si>
    <t xml:space="preserve">Cablu incalzire in pardoseala 10 W / ml , 1900 W , 190 ml / 21.2 mp </t>
  </si>
  <si>
    <t>Necesar
cablu
 [ml]</t>
  </si>
  <si>
    <t>Suprf incapare</t>
  </si>
  <si>
    <r>
      <t xml:space="preserve">300 W , </t>
    </r>
    <r>
      <rPr>
        <b/>
        <sz val="9"/>
        <rFont val="Verdana"/>
        <family val="2"/>
      </rPr>
      <t>30 ml</t>
    </r>
    <r>
      <rPr>
        <sz val="9"/>
        <rFont val="Verdana"/>
        <family val="2"/>
      </rPr>
      <t xml:space="preserve"> / 3.4 mp </t>
    </r>
  </si>
  <si>
    <r>
      <t xml:space="preserve">500 W , </t>
    </r>
    <r>
      <rPr>
        <b/>
        <sz val="9"/>
        <rFont val="Verdana"/>
        <family val="2"/>
      </rPr>
      <t>50 ml</t>
    </r>
    <r>
      <rPr>
        <sz val="9"/>
        <rFont val="Verdana"/>
        <family val="2"/>
      </rPr>
      <t xml:space="preserve"> / 5.6 mp </t>
    </r>
  </si>
  <si>
    <r>
      <t xml:space="preserve">800 W , </t>
    </r>
    <r>
      <rPr>
        <b/>
        <sz val="9"/>
        <rFont val="Verdana"/>
        <family val="2"/>
      </rPr>
      <t xml:space="preserve">80 ml </t>
    </r>
    <r>
      <rPr>
        <sz val="9"/>
        <rFont val="Verdana"/>
        <family val="2"/>
      </rPr>
      <t xml:space="preserve">/ 8.9 mp </t>
    </r>
  </si>
  <si>
    <r>
      <t xml:space="preserve">1000 W , </t>
    </r>
    <r>
      <rPr>
        <b/>
        <sz val="9"/>
        <rFont val="Verdana"/>
        <family val="2"/>
      </rPr>
      <t>100 ml</t>
    </r>
    <r>
      <rPr>
        <sz val="9"/>
        <rFont val="Verdana"/>
        <family val="2"/>
      </rPr>
      <t xml:space="preserve"> / 11.2 mp </t>
    </r>
  </si>
  <si>
    <r>
      <t xml:space="preserve">1200 W , </t>
    </r>
    <r>
      <rPr>
        <b/>
        <sz val="9"/>
        <rFont val="Verdana"/>
        <family val="2"/>
      </rPr>
      <t xml:space="preserve">120 ml </t>
    </r>
    <r>
      <rPr>
        <sz val="9"/>
        <rFont val="Verdana"/>
        <family val="2"/>
      </rPr>
      <t xml:space="preserve">/ 13.4mp </t>
    </r>
  </si>
  <si>
    <r>
      <t xml:space="preserve">1500 W , </t>
    </r>
    <r>
      <rPr>
        <b/>
        <sz val="9"/>
        <rFont val="Verdana"/>
        <family val="2"/>
      </rPr>
      <t>150 ml</t>
    </r>
    <r>
      <rPr>
        <sz val="9"/>
        <rFont val="Verdana"/>
        <family val="2"/>
      </rPr>
      <t xml:space="preserve"> / 16.7 mp </t>
    </r>
  </si>
  <si>
    <r>
      <t xml:space="preserve">1900 W , </t>
    </r>
    <r>
      <rPr>
        <b/>
        <sz val="9"/>
        <rFont val="Verdana"/>
        <family val="2"/>
      </rPr>
      <t>190 ml</t>
    </r>
    <r>
      <rPr>
        <sz val="9"/>
        <rFont val="Verdana"/>
        <family val="2"/>
      </rPr>
      <t xml:space="preserve"> / 21.2 mp </t>
    </r>
  </si>
  <si>
    <r>
      <t>3. Puterea instalata minima  necesara pentru sistemul de incalzire in</t>
    </r>
    <r>
      <rPr>
        <b/>
        <sz val="9"/>
        <color theme="1"/>
        <rFont val="Verdana"/>
        <family val="2"/>
      </rPr>
      <t xml:space="preserve"> [ kW ]</t>
    </r>
    <r>
      <rPr>
        <sz val="9"/>
        <color theme="1"/>
        <rFont val="Verdana"/>
        <family val="2"/>
      </rPr>
      <t xml:space="preserve">  =</t>
    </r>
  </si>
  <si>
    <r>
      <t xml:space="preserve">3. Puterea instalata minima necesara pentru sistemul de incalzire in </t>
    </r>
    <r>
      <rPr>
        <b/>
        <sz val="9"/>
        <color theme="1"/>
        <rFont val="Verdana"/>
        <family val="2"/>
      </rPr>
      <t>[ kW ]   =</t>
    </r>
  </si>
  <si>
    <t>TOTAL =</t>
  </si>
  <si>
    <t xml:space="preserve"> Panouri Radiante Infrarosu Premium</t>
  </si>
  <si>
    <t>Panou Radiant infrarosu 119 x 59 x 4 cm, 600 W</t>
  </si>
  <si>
    <t>Panou Radiant infrarosu  59.2 x 59.2 x 4 cm, 300 W</t>
  </si>
  <si>
    <t>Panou Radiant infrarosu 119.2 x 59.2 x 4 cm, 600 W</t>
  </si>
  <si>
    <t>Necesar</t>
  </si>
  <si>
    <t>mp incalziti [m²]</t>
  </si>
  <si>
    <t>Panouri radiante</t>
  </si>
  <si>
    <t>necesar panouri pentru 8mp</t>
  </si>
  <si>
    <t xml:space="preserve">necesar panouri pentru 4mp </t>
  </si>
  <si>
    <r>
      <t xml:space="preserve">3. Puterea instalata minima necesara pentru sistemul de incalzire in </t>
    </r>
    <r>
      <rPr>
        <b/>
        <sz val="9"/>
        <color theme="1"/>
        <rFont val="Verdana"/>
        <family val="2"/>
      </rPr>
      <t xml:space="preserve">[ KW ] </t>
    </r>
    <r>
      <rPr>
        <sz val="9"/>
        <color theme="1"/>
        <rFont val="Verdana"/>
        <family val="2"/>
      </rPr>
      <t>=</t>
    </r>
  </si>
  <si>
    <t>F32</t>
  </si>
  <si>
    <t xml:space="preserve">                                                             </t>
  </si>
  <si>
    <r>
      <t xml:space="preserve">Va multumim pentru cererea de oferta si va prezentam mai jos propunerea noastra pentru reperele sistemului de incalzire prin panouri radiante </t>
    </r>
    <r>
      <rPr>
        <b/>
        <sz val="9"/>
        <color theme="1"/>
        <rFont val="Verdana"/>
        <family val="2"/>
      </rPr>
      <t xml:space="preserve">Magnum Heating - Olanda. </t>
    </r>
  </si>
  <si>
    <r>
      <t xml:space="preserve">4 m² - </t>
    </r>
    <r>
      <rPr>
        <sz val="9"/>
        <color theme="1"/>
        <rFont val="Verdana"/>
        <family val="2"/>
      </rPr>
      <t>300W</t>
    </r>
  </si>
  <si>
    <r>
      <t xml:space="preserve">8 m² - </t>
    </r>
    <r>
      <rPr>
        <sz val="9"/>
        <color theme="1"/>
        <rFont val="Verdana"/>
        <family val="2"/>
      </rPr>
      <t xml:space="preserve">600W </t>
    </r>
  </si>
  <si>
    <t xml:space="preserve">MAGNUM Cable 300 W - 15 m </t>
  </si>
  <si>
    <t xml:space="preserve">MAGNUM Cable 500 W - 25 m </t>
  </si>
  <si>
    <t xml:space="preserve">MAGNUM Cable 1000 W - 50 m </t>
  </si>
  <si>
    <t>MAGNUM Cable 1200 W - 60 m</t>
  </si>
  <si>
    <t>MAGNUM Cable 1600 W - 80 m</t>
  </si>
  <si>
    <t>MAGNUM Cable 1800 W - 90 m</t>
  </si>
  <si>
    <t>MAGNUM Cable 2000 W - 100 m</t>
  </si>
  <si>
    <t>MAGNUM Cable 2400 W - 120 m</t>
  </si>
  <si>
    <t>MAGNUM Cable 2800 W - 140 m</t>
  </si>
  <si>
    <t>MAGNUM Cable 3200 W - 160 m</t>
  </si>
  <si>
    <t>150 W</t>
  </si>
  <si>
    <t>225 W</t>
  </si>
  <si>
    <t>300 W</t>
  </si>
  <si>
    <t>375 W</t>
  </si>
  <si>
    <t>450 W</t>
  </si>
  <si>
    <t>525 W</t>
  </si>
  <si>
    <t xml:space="preserve"> 600 W</t>
  </si>
  <si>
    <t>675 W</t>
  </si>
  <si>
    <t>750 W</t>
  </si>
  <si>
    <t>900 W</t>
  </si>
  <si>
    <t xml:space="preserve"> 1050 W</t>
  </si>
  <si>
    <t>1200 W</t>
  </si>
  <si>
    <t>1350 W</t>
  </si>
  <si>
    <t>1500 W</t>
  </si>
  <si>
    <t>1800W</t>
  </si>
  <si>
    <t xml:space="preserve">2250 W </t>
  </si>
  <si>
    <t xml:space="preserve">3000 W </t>
  </si>
  <si>
    <t>Putere 
covoras</t>
  </si>
  <si>
    <t xml:space="preserve">1,5 </t>
  </si>
  <si>
    <t xml:space="preserve">2,5   </t>
  </si>
  <si>
    <t xml:space="preserve">3,5  </t>
  </si>
  <si>
    <t xml:space="preserve">4,5  </t>
  </si>
  <si>
    <t>Folie dezaburire oglinda 29 x 29 cm , 27 W</t>
  </si>
  <si>
    <t>Folie dezaburire oglinda 36 x 50 cm , 50 W</t>
  </si>
  <si>
    <t>Folie dezaburire oglinda 40 x 58 cm, 65 W</t>
  </si>
  <si>
    <t>Folie dezaburire oglinda 50 x 58 cm , 70 W</t>
  </si>
  <si>
    <t>Folie dezaburire oglinda 57 x 75 cm , 100 W</t>
  </si>
  <si>
    <t>Folie dezaburire oglinda 58 x 85 cm, 120 W</t>
  </si>
  <si>
    <t xml:space="preserve">Folie dezaburire oglinda </t>
  </si>
  <si>
    <t xml:space="preserve">buc. </t>
  </si>
  <si>
    <t>Folie dezaburire oglinda  ø35 cm , 50 W</t>
  </si>
  <si>
    <r>
      <t xml:space="preserve">3. Puterea instalata minima necesara pentru sistemul de incalzire  in </t>
    </r>
    <r>
      <rPr>
        <b/>
        <sz val="9"/>
        <color theme="1"/>
        <rFont val="Verdana"/>
        <family val="2"/>
      </rPr>
      <t>[ kW ]  =</t>
    </r>
  </si>
  <si>
    <t>Supraf. cov.
catalog [mp]</t>
  </si>
  <si>
    <t>Putere cablu
17W/ml
 [W]</t>
  </si>
  <si>
    <t>Putere cablu
20W/ml
 [W]</t>
  </si>
  <si>
    <t>Tip cablu</t>
  </si>
  <si>
    <t>10W/ml</t>
  </si>
  <si>
    <t>20W/ml</t>
  </si>
  <si>
    <t>Putere cablu 1
10W/ml [W]</t>
  </si>
  <si>
    <t>Putere cablu 2
10W/ml [W]</t>
  </si>
  <si>
    <t>Putere cablu 3
10W/ml [W]</t>
  </si>
  <si>
    <t>Putere cablu
10W/ml
 [W]</t>
  </si>
  <si>
    <t>SURSA UNICA</t>
  </si>
  <si>
    <t>DOAR CONFORT TERMIC</t>
  </si>
  <si>
    <r>
      <t xml:space="preserve">Necesar
incapere </t>
    </r>
    <r>
      <rPr>
        <b/>
        <sz val="8"/>
        <color rgb="FFFF0000"/>
        <rFont val="Verdana"/>
        <family val="2"/>
      </rPr>
      <t>135W/mp</t>
    </r>
  </si>
  <si>
    <r>
      <t xml:space="preserve">Necesar
incapere  </t>
    </r>
    <r>
      <rPr>
        <b/>
        <sz val="8"/>
        <color rgb="FFFF0000"/>
        <rFont val="Verdana"/>
        <family val="2"/>
      </rPr>
      <t>150W/mp</t>
    </r>
  </si>
  <si>
    <r>
      <t xml:space="preserve">Necesar
incapere
</t>
    </r>
    <r>
      <rPr>
        <b/>
        <sz val="8"/>
        <color rgb="FFFF0000"/>
        <rFont val="Verdana"/>
        <family val="2"/>
      </rPr>
      <t>80W/mp</t>
    </r>
  </si>
  <si>
    <r>
      <t xml:space="preserve">Necesar
incapere
</t>
    </r>
    <r>
      <rPr>
        <b/>
        <sz val="8"/>
        <color rgb="FFFF0000"/>
        <rFont val="Verdana"/>
        <family val="2"/>
      </rPr>
      <t>95W/mp</t>
    </r>
  </si>
  <si>
    <t>Putere cablu 1
20W/ml
[W]</t>
  </si>
  <si>
    <t>Putere cablu 1
17W/ml
[W]</t>
  </si>
  <si>
    <t>Putere cablu 2
17W/ml
[W]</t>
  </si>
  <si>
    <t>Putere cablu 3
17W/ml
[W]</t>
  </si>
  <si>
    <t>Putere cablu 2
20W/ml
[W]</t>
  </si>
  <si>
    <t>Putere cablu 3
20W/ml
[W]</t>
  </si>
  <si>
    <t xml:space="preserve">Cablu incalzire in pardoseala 6 W / ml , 180 W , 30 ml </t>
  </si>
  <si>
    <t xml:space="preserve">Cablu incalzire in pardoseala 6 W / ml , 300 W , 50 ml </t>
  </si>
  <si>
    <t xml:space="preserve">Cablu incalzire in pardoseala 6 W / ml ,480 W , 80 ml </t>
  </si>
  <si>
    <t xml:space="preserve">Cablu incalzire in pardoseala 6 W / ml , 600 W , 100 ml </t>
  </si>
  <si>
    <t xml:space="preserve">Cablu incalzire in pardoseala 6 W / ml , 720 W , 120 ml </t>
  </si>
  <si>
    <t xml:space="preserve">Cablu incalzire in pardoseala 6 W / ml , 900 W , 150 ml </t>
  </si>
  <si>
    <t xml:space="preserve">Cablu incalzire in pardoseala 6 W / ml , 1140 W , 190 ml </t>
  </si>
  <si>
    <t xml:space="preserve">Cablu HeatBoard incalzire pardoseala - 10 W/ml </t>
  </si>
  <si>
    <t xml:space="preserve">Cablu HeatBoard incalzire pardoseala - 6 W/ml </t>
  </si>
  <si>
    <t>Lungime cablu 1
catalog [ml]</t>
  </si>
  <si>
    <t>Lungime cablu 2
catalog [ml]</t>
  </si>
  <si>
    <t>Lungime cablu 3
catalog [ml]</t>
  </si>
  <si>
    <r>
      <t xml:space="preserve">1 m² </t>
    </r>
    <r>
      <rPr>
        <sz val="9"/>
        <color theme="1"/>
        <rFont val="Verdana"/>
        <family val="2"/>
      </rPr>
      <t xml:space="preserve">- 140 W </t>
    </r>
  </si>
  <si>
    <r>
      <t xml:space="preserve">2 m² </t>
    </r>
    <r>
      <rPr>
        <sz val="9"/>
        <color theme="1"/>
        <rFont val="Verdana"/>
        <family val="2"/>
      </rPr>
      <t>- 280 W</t>
    </r>
  </si>
  <si>
    <r>
      <t xml:space="preserve">3 m² </t>
    </r>
    <r>
      <rPr>
        <sz val="9"/>
        <color theme="1"/>
        <rFont val="Verdana"/>
        <family val="2"/>
      </rPr>
      <t>- 420 W</t>
    </r>
  </si>
  <si>
    <r>
      <t xml:space="preserve">4 m² </t>
    </r>
    <r>
      <rPr>
        <sz val="9"/>
        <color theme="1"/>
        <rFont val="Verdana"/>
        <family val="2"/>
      </rPr>
      <t>- 560 W</t>
    </r>
  </si>
  <si>
    <r>
      <t xml:space="preserve">5 m² </t>
    </r>
    <r>
      <rPr>
        <sz val="9"/>
        <color theme="1"/>
        <rFont val="Verdana"/>
        <family val="2"/>
      </rPr>
      <t>- 700 W</t>
    </r>
  </si>
  <si>
    <r>
      <t xml:space="preserve">6 m² </t>
    </r>
    <r>
      <rPr>
        <sz val="9"/>
        <color theme="1"/>
        <rFont val="Verdana"/>
        <family val="2"/>
      </rPr>
      <t>- 840 W</t>
    </r>
  </si>
  <si>
    <r>
      <t xml:space="preserve">7 m² </t>
    </r>
    <r>
      <rPr>
        <sz val="9"/>
        <color theme="1"/>
        <rFont val="Verdana"/>
        <family val="2"/>
      </rPr>
      <t>- 980 W</t>
    </r>
  </si>
  <si>
    <r>
      <t xml:space="preserve">8 m² </t>
    </r>
    <r>
      <rPr>
        <sz val="9"/>
        <color theme="1"/>
        <rFont val="Verdana"/>
        <family val="2"/>
      </rPr>
      <t>- 1120 W</t>
    </r>
  </si>
  <si>
    <r>
      <t xml:space="preserve">9 m² </t>
    </r>
    <r>
      <rPr>
        <sz val="9"/>
        <color theme="1"/>
        <rFont val="Verdana"/>
        <family val="2"/>
      </rPr>
      <t>- 1260 W</t>
    </r>
  </si>
  <si>
    <r>
      <t xml:space="preserve">10m² </t>
    </r>
    <r>
      <rPr>
        <sz val="9"/>
        <color theme="1"/>
        <rFont val="Verdana"/>
        <family val="2"/>
      </rPr>
      <t>- 1400 W</t>
    </r>
  </si>
  <si>
    <r>
      <t xml:space="preserve">Necesar mp
incapere la </t>
    </r>
    <r>
      <rPr>
        <b/>
        <sz val="8"/>
        <color rgb="FFFF0000"/>
        <rFont val="Verdana"/>
        <family val="2"/>
      </rPr>
      <t>135W/mp</t>
    </r>
  </si>
  <si>
    <t>Supraf. cov
catalog
 [W]</t>
  </si>
  <si>
    <t>Supraf. cov
catalog [W]</t>
  </si>
  <si>
    <t>CT</t>
  </si>
  <si>
    <t>dressing</t>
  </si>
  <si>
    <r>
      <t>Localitate</t>
    </r>
    <r>
      <rPr>
        <sz val="9"/>
        <color theme="1"/>
        <rFont val="Verdana"/>
        <family val="2"/>
      </rPr>
      <t>:</t>
    </r>
    <r>
      <rPr>
        <b/>
        <sz val="9"/>
        <color theme="1"/>
        <rFont val="Verdana"/>
        <family val="2"/>
      </rPr>
      <t>Bucuresti</t>
    </r>
  </si>
  <si>
    <t>ET-44</t>
  </si>
  <si>
    <t>W90100</t>
  </si>
  <si>
    <t>Folie reflectorizanta aluminiu 20 m x 1.5 m (30 mp)</t>
  </si>
  <si>
    <t>W91111</t>
  </si>
  <si>
    <t>Termost.</t>
  </si>
  <si>
    <t>Cablu incalzire pardoseala - 20 W/ml, 5 mm grosime montaj adeziv/sapa</t>
  </si>
  <si>
    <t xml:space="preserve">17W/ml </t>
  </si>
  <si>
    <r>
      <t xml:space="preserve">Cronotermostat MAGNUM </t>
    </r>
    <r>
      <rPr>
        <b/>
        <sz val="9"/>
        <color theme="1"/>
        <rFont val="Verdana"/>
        <family val="2"/>
      </rPr>
      <t>MRC</t>
    </r>
    <r>
      <rPr>
        <sz val="9"/>
        <color theme="1"/>
        <rFont val="Verdana"/>
        <family val="2"/>
      </rPr>
      <t xml:space="preserve"> -</t>
    </r>
    <r>
      <rPr>
        <b/>
        <sz val="9"/>
        <color theme="1"/>
        <rFont val="Verdana"/>
        <family val="2"/>
      </rPr>
      <t xml:space="preserve"> WiFi Control</t>
    </r>
    <r>
      <rPr>
        <sz val="9"/>
        <color theme="1"/>
        <rFont val="Verdana"/>
        <family val="2"/>
      </rPr>
      <t>, cu senzor pardoseala inclus (google assistant)</t>
    </r>
  </si>
  <si>
    <r>
      <t xml:space="preserve">Cronotermostat MAGNUM </t>
    </r>
    <r>
      <rPr>
        <b/>
        <sz val="9"/>
        <color theme="1"/>
        <rFont val="Verdana"/>
        <family val="2"/>
      </rPr>
      <t>F32</t>
    </r>
    <r>
      <rPr>
        <sz val="9"/>
        <color theme="1"/>
        <rFont val="Verdana"/>
        <family val="2"/>
      </rPr>
      <t xml:space="preserve"> -</t>
    </r>
    <r>
      <rPr>
        <b/>
        <sz val="9"/>
        <color theme="1"/>
        <rFont val="Verdana"/>
        <family val="2"/>
      </rPr>
      <t xml:space="preserve"> WiFi Control</t>
    </r>
    <r>
      <rPr>
        <sz val="9"/>
        <color theme="1"/>
        <rFont val="Verdana"/>
        <family val="2"/>
      </rPr>
      <t xml:space="preserve">, cu senzor de pardoseala inclus (montaj in doza) </t>
    </r>
  </si>
  <si>
    <r>
      <t xml:space="preserve">Cronotermostat </t>
    </r>
    <r>
      <rPr>
        <b/>
        <sz val="9"/>
        <color theme="1"/>
        <rFont val="Verdana"/>
        <family val="2"/>
      </rPr>
      <t>C16</t>
    </r>
    <r>
      <rPr>
        <sz val="9"/>
        <color theme="1"/>
        <rFont val="Verdana"/>
        <family val="2"/>
      </rPr>
      <t xml:space="preserve"> -</t>
    </r>
    <r>
      <rPr>
        <b/>
        <sz val="9"/>
        <color theme="1"/>
        <rFont val="Verdana"/>
        <family val="2"/>
      </rPr>
      <t xml:space="preserve"> WiFi Control </t>
    </r>
    <r>
      <rPr>
        <sz val="9"/>
        <color theme="1"/>
        <rFont val="Verdana"/>
        <family val="2"/>
      </rPr>
      <t xml:space="preserve">, cu senzor de pardoseala inclus (montaj in doza) </t>
    </r>
  </si>
  <si>
    <r>
      <t xml:space="preserve">Termostat </t>
    </r>
    <r>
      <rPr>
        <b/>
        <sz val="9"/>
        <color theme="1"/>
        <rFont val="Verdana"/>
        <family val="2"/>
      </rPr>
      <t xml:space="preserve">ET-44  - WiIFi Control </t>
    </r>
    <r>
      <rPr>
        <sz val="9"/>
        <color theme="1"/>
        <rFont val="Verdana"/>
        <family val="2"/>
      </rPr>
      <t xml:space="preserve">, cu senzor de pardoseala inclus (montaj in doza) </t>
    </r>
  </si>
  <si>
    <r>
      <t xml:space="preserve">Senzor de pardoseala </t>
    </r>
    <r>
      <rPr>
        <b/>
        <sz val="9"/>
        <color theme="1"/>
        <rFont val="Verdana"/>
        <family val="2"/>
      </rPr>
      <t>ETF-144</t>
    </r>
  </si>
  <si>
    <t>S-Control</t>
  </si>
  <si>
    <t xml:space="preserve">  Cablu incalzire pardoseala - 17 W/ml 7 mm grosime, montaj sapa </t>
  </si>
  <si>
    <t>ET44</t>
  </si>
  <si>
    <t>Covor incalzire pardoseala  150 W/m² (50 cm latime), ~4mm grosime, montaj adeziv</t>
  </si>
  <si>
    <r>
      <t xml:space="preserve">Izolatie pentru gresie Isoplate 4,8 m² (8 buc. de 60 x 100 
x 0,6 cm) - </t>
    </r>
    <r>
      <rPr>
        <b/>
        <sz val="9"/>
        <rFont val="Verdana"/>
        <family val="2"/>
      </rPr>
      <t>optional</t>
    </r>
  </si>
  <si>
    <t>17W/ml</t>
  </si>
  <si>
    <t>Necesar
total</t>
  </si>
  <si>
    <t xml:space="preserve">Necesar
total </t>
  </si>
  <si>
    <r>
      <t xml:space="preserve">2. Termostatele </t>
    </r>
    <r>
      <rPr>
        <b/>
        <sz val="9"/>
        <color theme="1"/>
        <rFont val="Verdana"/>
        <family val="2"/>
      </rPr>
      <t>WiFi</t>
    </r>
    <r>
      <rPr>
        <sz val="9"/>
        <color theme="1"/>
        <rFont val="Verdana"/>
        <family val="2"/>
      </rPr>
      <t xml:space="preserve"> permit programarea si controlul WiFi de la distanta prin aplicatie de pe smartphone.</t>
    </r>
  </si>
  <si>
    <t>S - Control</t>
  </si>
  <si>
    <t>Necesar mp
film
120W/mp/ incapere</t>
  </si>
  <si>
    <t>Necesar mp
film
140W/mp/ incapere</t>
  </si>
  <si>
    <t>Set conexiune folie MAGNUM pentru 10 m² folie de 60cm/100cm</t>
  </si>
  <si>
    <r>
      <t xml:space="preserve">Rola MAGNUM Foil </t>
    </r>
    <r>
      <rPr>
        <b/>
        <sz val="9"/>
        <color theme="1"/>
        <rFont val="Verdana"/>
        <family val="2"/>
      </rPr>
      <t>120 W/m² - 60cm latime</t>
    </r>
    <r>
      <rPr>
        <sz val="9"/>
        <color theme="1"/>
        <rFont val="Verdana"/>
        <family val="2"/>
      </rPr>
      <t xml:space="preserve">  [mp/rola]</t>
    </r>
  </si>
  <si>
    <r>
      <t xml:space="preserve">Rola MAGNUM Foil </t>
    </r>
    <r>
      <rPr>
        <b/>
        <sz val="9"/>
        <color theme="1"/>
        <rFont val="Verdana"/>
        <family val="2"/>
      </rPr>
      <t>140 W/m² - 100 cm latime</t>
    </r>
    <r>
      <rPr>
        <sz val="9"/>
        <color theme="1"/>
        <rFont val="Verdana"/>
        <family val="2"/>
      </rPr>
      <t xml:space="preserve"> [mp/rola]</t>
    </r>
  </si>
  <si>
    <t>Necesar mp
film 120W/mp/ incapere</t>
  </si>
  <si>
    <r>
      <t xml:space="preserve">Covor incalzire pardoseala 150 W/m² (50 cm latime), ~4 mm, montaj adeziv, </t>
    </r>
    <r>
      <rPr>
        <b/>
        <sz val="11"/>
        <color theme="1"/>
        <rFont val="Verdana"/>
        <family val="2"/>
      </rPr>
      <t>S =</t>
    </r>
  </si>
  <si>
    <r>
      <t xml:space="preserve">Covor incalzire pardoseala 150 W/m² (50 cm latime), ~4 mm, montaj adeziv, </t>
    </r>
    <r>
      <rPr>
        <b/>
        <sz val="11"/>
        <color theme="1"/>
        <rFont val="Verdana"/>
        <family val="2"/>
      </rPr>
      <t>S</t>
    </r>
    <r>
      <rPr>
        <b/>
        <sz val="10"/>
        <color theme="1"/>
        <rFont val="Verdana"/>
        <family val="2"/>
      </rPr>
      <t xml:space="preserve"> </t>
    </r>
    <r>
      <rPr>
        <b/>
        <sz val="11"/>
        <color theme="1"/>
        <rFont val="Verdana"/>
        <family val="2"/>
      </rPr>
      <t>=</t>
    </r>
  </si>
  <si>
    <t>Film carbon incalzire pardoseala  montaj parchet 120W/m², (60 cm latime), S =</t>
  </si>
  <si>
    <t xml:space="preserve">Necesar
 </t>
  </si>
  <si>
    <t xml:space="preserve">Necesar
</t>
  </si>
  <si>
    <r>
      <t xml:space="preserve">Rola MAGNUM Foil </t>
    </r>
    <r>
      <rPr>
        <b/>
        <sz val="9"/>
        <color theme="1"/>
        <rFont val="Verdana"/>
        <family val="2"/>
      </rPr>
      <t>120 W/m² -  60 cm latime</t>
    </r>
    <r>
      <rPr>
        <sz val="9"/>
        <color theme="1"/>
        <rFont val="Verdana"/>
        <family val="2"/>
      </rPr>
      <t xml:space="preserve"> [mp/rola]</t>
    </r>
  </si>
  <si>
    <r>
      <t xml:space="preserve">Va multumim pentru cererea de oferta si va prezentam mai jos propunerea noastra pentru reperele sistemului de incalzire  </t>
    </r>
    <r>
      <rPr>
        <b/>
        <sz val="9"/>
        <color theme="1"/>
        <rFont val="Verdana"/>
        <family val="2"/>
      </rPr>
      <t>Magnum Heating - Olanda.</t>
    </r>
  </si>
  <si>
    <t xml:space="preserve">Covor incalzire pardoseala aluminiu parchet 140 W/m² (50 cm latime), 3mm  </t>
  </si>
  <si>
    <t>Covor incalzire pardoseala 150 W/m² (50 cm latime) ~4 mm montaj adeziv</t>
  </si>
  <si>
    <t xml:space="preserve">Sistem uscat Heatboard electric 12mm (izolatie polistiren cu aluminiu)
pentru cablu 10 W/ml </t>
  </si>
  <si>
    <t>Film carbon  incalzire prin pardoseala montaj sub parchet 120W/m², 60 cm latime</t>
  </si>
  <si>
    <t>Film carbon incalzire pardoseala montaj parchet 140W/m², 100 cm latime</t>
  </si>
  <si>
    <t>Cablu incalzire pardoseala - 20 W/ml, 5 mm grosime, montaj in sapa/adeziv</t>
  </si>
  <si>
    <t>S Control</t>
  </si>
  <si>
    <t>3. Banda metalica este optionala - cablul se poate monta si pe plasa de armare sapa.</t>
  </si>
  <si>
    <r>
      <t>4. Puterea instalata minima necesara pentru sistemul de incalzire in</t>
    </r>
    <r>
      <rPr>
        <b/>
        <sz val="9"/>
        <color theme="1"/>
        <rFont val="Verdana"/>
        <family val="2"/>
      </rPr>
      <t xml:space="preserve"> [ kW ]</t>
    </r>
    <r>
      <rPr>
        <sz val="9"/>
        <color theme="1"/>
        <rFont val="Verdana"/>
        <family val="2"/>
      </rPr>
      <t xml:space="preserve">  =</t>
    </r>
  </si>
  <si>
    <t>Covor incalzire in pardoseala 7 m² - 1070 W</t>
  </si>
  <si>
    <t>camera dr</t>
  </si>
  <si>
    <t>camera  stg</t>
  </si>
  <si>
    <t>camera mij</t>
  </si>
  <si>
    <r>
      <t xml:space="preserve">Termostat analogic  </t>
    </r>
    <r>
      <rPr>
        <b/>
        <sz val="9"/>
        <color theme="1"/>
        <rFont val="Verdana"/>
        <family val="2"/>
      </rPr>
      <t>S Control On/Off</t>
    </r>
    <r>
      <rPr>
        <sz val="9"/>
        <color theme="1"/>
        <rFont val="Verdana"/>
        <family val="2"/>
      </rPr>
      <t xml:space="preserve">, cu senzor de pardoseala inclus (montaj in doza) </t>
    </r>
  </si>
  <si>
    <r>
      <t xml:space="preserve">Cronotermostat </t>
    </r>
    <r>
      <rPr>
        <b/>
        <sz val="9"/>
        <color theme="1"/>
        <rFont val="Verdana"/>
        <family val="2"/>
      </rPr>
      <t xml:space="preserve">C16 - WiFi Control </t>
    </r>
    <r>
      <rPr>
        <sz val="9"/>
        <color theme="1"/>
        <rFont val="Verdana"/>
        <family val="2"/>
      </rPr>
      <t xml:space="preserve">, cu senzor de pardoseala inclus (montaj in doza) </t>
    </r>
  </si>
  <si>
    <r>
      <t xml:space="preserve">Cronotermostat </t>
    </r>
    <r>
      <rPr>
        <b/>
        <sz val="9"/>
        <color theme="1"/>
        <rFont val="Verdana"/>
        <family val="2"/>
      </rPr>
      <t xml:space="preserve">C16 - WiFi Control </t>
    </r>
    <r>
      <rPr>
        <sz val="9"/>
        <color theme="1"/>
        <rFont val="Verdana"/>
        <family val="2"/>
      </rPr>
      <t>, cu senzor de pardoseala inclus (montaj in doza)</t>
    </r>
  </si>
  <si>
    <t>Cant</t>
  </si>
  <si>
    <t xml:space="preserve">Covor incalzire pardoseala aluminiu parchet 140 W/m² (50 cm latime), ~4 mm,    </t>
  </si>
  <si>
    <t>S =</t>
  </si>
  <si>
    <r>
      <t xml:space="preserve">3. Puterea instalata minima necesara pentru sistemul de incalzire masurata in </t>
    </r>
    <r>
      <rPr>
        <b/>
        <sz val="9"/>
        <color theme="1"/>
        <rFont val="Verdana"/>
        <family val="2"/>
      </rPr>
      <t xml:space="preserve">[ KW ] </t>
    </r>
    <r>
      <rPr>
        <sz val="9"/>
        <color theme="1"/>
        <rFont val="Verdana"/>
        <family val="2"/>
      </rPr>
      <t xml:space="preserve"> =</t>
    </r>
  </si>
  <si>
    <t xml:space="preserve">Film carbon incalzire pardoseala  montaj parchet 120W/m², (60 cm latime), </t>
  </si>
  <si>
    <t>Film carbon incalzire pardoseala  montaj parchet 140W/m²,(100 cm latime),</t>
  </si>
  <si>
    <t>W90101</t>
  </si>
  <si>
    <t>Folie reflectorizanta aluminiu 50 m x 1.5 m (75 mp)</t>
  </si>
  <si>
    <r>
      <t xml:space="preserve">Cronotermostat MAGNUM Remote Control 2 </t>
    </r>
    <r>
      <rPr>
        <b/>
        <sz val="9"/>
        <color theme="1"/>
        <rFont val="Verdana"/>
        <family val="2"/>
      </rPr>
      <t>MRC 2</t>
    </r>
    <r>
      <rPr>
        <sz val="9"/>
        <color theme="1"/>
        <rFont val="Verdana"/>
        <family val="2"/>
      </rPr>
      <t xml:space="preserve"> -</t>
    </r>
    <r>
      <rPr>
        <b/>
        <sz val="9"/>
        <color theme="1"/>
        <rFont val="Verdana"/>
        <family val="2"/>
      </rPr>
      <t xml:space="preserve"> WIFi Control </t>
    </r>
    <r>
      <rPr>
        <sz val="9"/>
        <color theme="1"/>
        <rFont val="Verdana"/>
        <family val="2"/>
      </rPr>
      <t>, cu senzor de pardoseala inclus (montaj in doza), alb</t>
    </r>
  </si>
  <si>
    <t>MRC 2</t>
  </si>
  <si>
    <r>
      <t xml:space="preserve">Cronotermostat MAGNUM Remote Control 2 </t>
    </r>
    <r>
      <rPr>
        <b/>
        <sz val="9"/>
        <color theme="1"/>
        <rFont val="Verdana"/>
        <family val="2"/>
      </rPr>
      <t>MRC 2</t>
    </r>
    <r>
      <rPr>
        <sz val="9"/>
        <color theme="1"/>
        <rFont val="Verdana"/>
        <family val="2"/>
      </rPr>
      <t xml:space="preserve"> -</t>
    </r>
    <r>
      <rPr>
        <b/>
        <sz val="9"/>
        <color theme="1"/>
        <rFont val="Verdana"/>
        <family val="2"/>
      </rPr>
      <t xml:space="preserve"> WIFi Control</t>
    </r>
    <r>
      <rPr>
        <sz val="9"/>
        <color theme="1"/>
        <rFont val="Verdana"/>
        <family val="2"/>
      </rPr>
      <t>, cu senzor de pardoseala inclus (montaj in doza), alb</t>
    </r>
  </si>
  <si>
    <t xml:space="preserve">In atentia: D-lui </t>
  </si>
  <si>
    <r>
      <t xml:space="preserve">Cronotermostat MAGNUM Remote Control 2 </t>
    </r>
    <r>
      <rPr>
        <b/>
        <sz val="9"/>
        <color theme="1"/>
        <rFont val="Verdana"/>
        <family val="2"/>
      </rPr>
      <t>MRC 2</t>
    </r>
    <r>
      <rPr>
        <sz val="9"/>
        <color theme="1"/>
        <rFont val="Verdana"/>
        <family val="2"/>
      </rPr>
      <t xml:space="preserve"> -</t>
    </r>
    <r>
      <rPr>
        <b/>
        <sz val="9"/>
        <color theme="1"/>
        <rFont val="Verdana"/>
        <family val="2"/>
      </rPr>
      <t xml:space="preserve"> WIFi Control</t>
    </r>
    <r>
      <rPr>
        <sz val="9"/>
        <color theme="1"/>
        <rFont val="Verdana"/>
        <family val="2"/>
      </rPr>
      <t>, cu senzor de pardoseala inclus (montaj in doza), alb/negru</t>
    </r>
  </si>
  <si>
    <t xml:space="preserve">Cablu incalzire in pardoseala 10 W / ml , 1000 W , 100 ml / 11.2mp </t>
  </si>
  <si>
    <r>
      <t xml:space="preserve">Furnizor: </t>
    </r>
    <r>
      <rPr>
        <b/>
        <sz val="26"/>
        <rFont val="MS Sans Serif"/>
      </rPr>
      <t>MAGNUM HEATING SRL</t>
    </r>
    <r>
      <rPr>
        <b/>
        <sz val="10"/>
        <rFont val="MS Sans Serif"/>
      </rPr>
      <t xml:space="preserve">
Reg. com: J40/8589/2014
CIF: RO33404978
Adresa: Intr. Invingatorilor nr. 27A, Bucuresti, Jud. sector 3
IBAN : RO56INGB0000999915150915
Banca:  ING BANK NV
Capital social: 210</t>
    </r>
  </si>
  <si>
    <r>
      <t xml:space="preserve">Furnizor: </t>
    </r>
    <r>
      <rPr>
        <b/>
        <sz val="26"/>
        <rFont val="MS Sans Serif"/>
      </rPr>
      <t>MAGNUM HEATING SRL</t>
    </r>
    <r>
      <rPr>
        <b/>
        <sz val="10"/>
        <rFont val="MS Sans Serif"/>
      </rPr>
      <t xml:space="preserve">
Reg. com: J40/8589/2014
CIF: RO33404978
Adresa: Intr. Invingatorilor nr. 27A, Bucuresti, Jud. sector 3
IBAN : RO56INGB0000999915150915
Banca:  ING BANK NV
Capital social: 210
</t>
    </r>
  </si>
  <si>
    <t>W92055</t>
  </si>
  <si>
    <t>Banda perimetrala 10 cm x 5 mm (25 m)</t>
  </si>
  <si>
    <t>Banda scotch aluminiu MAGNUM - 22.5 m x 5 cm</t>
  </si>
  <si>
    <r>
      <t xml:space="preserve">Izolatie pentru gresie Isoplate 3 m² (5 buc. de 60 x 100
 x 1 cm) - </t>
    </r>
    <r>
      <rPr>
        <b/>
        <sz val="9"/>
        <rFont val="Verdana"/>
        <family val="2"/>
      </rPr>
      <t xml:space="preserve">optional - </t>
    </r>
    <r>
      <rPr>
        <sz val="9"/>
        <rFont val="Verdana"/>
        <family val="2"/>
      </rPr>
      <t>alternativa la Isoplate de 0,6 cm</t>
    </r>
  </si>
  <si>
    <t>Dispozitiv de sertizare pentru MAGNUM Foil - optional</t>
  </si>
  <si>
    <t>Film carbon incalzire pardoseala  montaj parchet 140W/m²,(100 cm latime),          S =</t>
  </si>
  <si>
    <t>W/mp</t>
  </si>
  <si>
    <r>
      <t xml:space="preserve">Izolatie pentru gresie Isoplate 3 m² (5 buc. de 60 x 100
 x 1 cm) - </t>
    </r>
    <r>
      <rPr>
        <b/>
        <sz val="9"/>
        <rFont val="Verdana"/>
        <family val="2"/>
      </rPr>
      <t xml:space="preserve">optional - </t>
    </r>
    <r>
      <rPr>
        <sz val="9"/>
        <rFont val="Verdana"/>
        <family val="2"/>
      </rPr>
      <t>alternativa la cel de 0,6 cm</t>
    </r>
  </si>
  <si>
    <t>Necesar mp
film 140W/mp/ incapere</t>
  </si>
  <si>
    <t xml:space="preserve">Magnum DuoBoard 1200x600 , 3 mm , 2,8 mp </t>
  </si>
  <si>
    <t>Remote control 2</t>
  </si>
  <si>
    <r>
      <t xml:space="preserve">Sistem uscat Heatboard electric 12mm (izolatie polistiren cu aluminiu)pentru cablu10 W/ml       </t>
    </r>
    <r>
      <rPr>
        <b/>
        <sz val="11"/>
        <color theme="1"/>
        <rFont val="Verdana"/>
        <family val="2"/>
      </rPr>
      <t>S</t>
    </r>
    <r>
      <rPr>
        <b/>
        <sz val="10"/>
        <color theme="1"/>
        <rFont val="Verdana"/>
        <family val="2"/>
      </rPr>
      <t xml:space="preserve"> =</t>
    </r>
  </si>
  <si>
    <r>
      <t xml:space="preserve">Covor incalzire pardoseala  150 W/m² (50 cm latime), 3.5mm grosime, montaj adeziv                 </t>
    </r>
    <r>
      <rPr>
        <b/>
        <sz val="11"/>
        <color theme="1"/>
        <rFont val="Verdana"/>
        <family val="2"/>
      </rPr>
      <t>S</t>
    </r>
    <r>
      <rPr>
        <b/>
        <sz val="10"/>
        <color theme="1"/>
        <rFont val="Verdana"/>
        <family val="2"/>
      </rPr>
      <t xml:space="preserve"> = </t>
    </r>
  </si>
  <si>
    <t>Folie dezaburire oglinda 57 x 110 cm, 150 W</t>
  </si>
  <si>
    <t xml:space="preserve"> mp/rola</t>
  </si>
  <si>
    <t>Izolatie pentru gresie Isoplate 4,8 m² (8 buc. de 60 x 100 
x 0,6 cm) - optional</t>
  </si>
  <si>
    <t>Izolatie pentru gresie Isoplate 3 m² (5 buc. de 60 x 100
 x 1 cm) - optional</t>
  </si>
  <si>
    <t>Incalzire electrica pardoseala MAGNUM Membrana Antifisurare</t>
  </si>
  <si>
    <t>MAGNUM Membrana Antifisurare Cablu 150W ( 150 W/mp - 1m2) -
( 113 W/mp - 1,3m2)</t>
  </si>
  <si>
    <t>MAGNUM Membrana Antifisurare Cablu 225W (150 W/mp - 1,5m2) -
 ( 113 W/mp - 2m2)</t>
  </si>
  <si>
    <t>MAGNUM Membrana Antifisurare Cablu 300W (150 W/mp - 2m2) - 
( 113 W/mp - 2,6m2)</t>
  </si>
  <si>
    <t>MAGNUM Membrana Antifisurare Cablu 375W (150 W/mp - 2,5m2) - 
( 113 W/mp - 3,3m2)</t>
  </si>
  <si>
    <t>MAGNUM Membrana Antifisurare Cablu 450W (150 W/mp - 3m2) - 
( 113 W/mp - 4m2)</t>
  </si>
  <si>
    <t>MAGNUM Membrana Antifisurare Cablu 525W (150 W/mp - 3,5m2) - 
( 113 W/mp - 4,6m2)</t>
  </si>
  <si>
    <t>MAGNUM Membrana Antifisurare Cablu 600W (150 W/mp - 4m2) - 
( 113 W/mp - 5,3m2)</t>
  </si>
  <si>
    <t>MAGNUM Membrana Antifisurare Cablu 675W (150 W/mp - 4,5m2) - 
( 113 W/mp - 6m2)</t>
  </si>
  <si>
    <t>MAGNUM Membrana Antifisurare Cablu 750W (150 W/mp - 5m2) - 
( 113 W/mp - 6,6m2)</t>
  </si>
  <si>
    <t>MAGNUM Membrana Antifisurare Cablu 900W (150 W/mp - 6m2) - 
( 113 W/mp - 8m2)</t>
  </si>
  <si>
    <t>MAGNUM Membrana Antifisurare Cablu 1050W (150 W/mp - 7m2) - 
( 113 W/mp - 9,3m2)</t>
  </si>
  <si>
    <t>MAGNUM Membrana Antifisurare Cablu 1200W (150 W/mp - 8m2) - 
( 113 W/mp - 10,6m2)</t>
  </si>
  <si>
    <t>MAGNUM Membrana Antifisurare Cablu 1500W (150 W/mp - 10m2) - 
( 113 W/mp - 13,3m2)</t>
  </si>
  <si>
    <t>MAGNUM Membrana Antifisurare Cablu 1800W (150 W/mp - 12m2) - 
( 113 W/mp - 15,9m2)</t>
  </si>
  <si>
    <t>MAGNUM Membrana Antifisurare Cablu 2250W (150 W/mp - 15m2) - 
( 113 W/mp - 19,9m2)</t>
  </si>
  <si>
    <t>MAGNUM Membrana Antifisurare - 5 m² / buc rola</t>
  </si>
  <si>
    <t>MAGNUM Membrana Antifisurare - 3 m² / buc (4 folii)</t>
  </si>
  <si>
    <t xml:space="preserve">Bariera de umiditate 0,1 mm  , 400 mm x 300 mm - 12 mp </t>
  </si>
  <si>
    <t>Oferta nr. 802 / 01.04.2026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</si>
</sst>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quot;€&quot;\ * #,##0.00_ ;_ &quot;€&quot;\ * \-#,##0.00_ ;_ &quot;€&quot;\ * &quot;-&quot;??_ ;_ @_ "/>
    <numFmt numFmtId="165" formatCode="0.0"/>
    <numFmt numFmtId="166" formatCode="#,##0.00;\-#,##0.00;&quot;-&quot;"/>
  </numFmts>
  <fonts count="62"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charset val="238"/>
      <scheme val="minor"/>
    </font>
    <font>
      <sz val="9"/>
      <color theme="1"/>
      <name val="Verdana"/>
      <family val="2"/>
    </font>
    <font>
      <b/>
      <sz val="9"/>
      <color rgb="FF000000"/>
      <name val="Verdana"/>
      <family val="2"/>
    </font>
    <font>
      <b/>
      <sz val="9"/>
      <color theme="1"/>
      <name val="Verdana"/>
      <family val="2"/>
    </font>
    <font>
      <sz val="11"/>
      <color theme="1"/>
      <name val="Calibri"/>
      <family val="2"/>
      <charset val="238"/>
      <scheme val="minor"/>
    </font>
    <font>
      <sz val="10"/>
      <name val="Arial"/>
      <family val="2"/>
    </font>
    <font>
      <u/>
      <sz val="9"/>
      <color theme="10"/>
      <name val="Verdana"/>
      <family val="2"/>
    </font>
    <font>
      <i/>
      <sz val="11"/>
      <color rgb="FF7F7F7F"/>
      <name val="Calibri"/>
      <family val="2"/>
      <scheme val="minor"/>
    </font>
    <font>
      <b/>
      <sz val="10"/>
      <color theme="1"/>
      <name val="Arial"/>
      <family val="2"/>
    </font>
    <font>
      <b/>
      <sz val="10"/>
      <name val="MS Sans Serif"/>
    </font>
    <font>
      <b/>
      <sz val="26"/>
      <name val="MS Sans Serif"/>
    </font>
    <font>
      <b/>
      <sz val="9"/>
      <color theme="1"/>
      <name val="Calibri"/>
      <family val="2"/>
    </font>
    <font>
      <b/>
      <sz val="9"/>
      <color rgb="FFFF0000"/>
      <name val="Verdana"/>
      <family val="2"/>
    </font>
    <font>
      <sz val="8"/>
      <name val="Calibri"/>
      <family val="2"/>
      <charset val="238"/>
      <scheme val="minor"/>
    </font>
    <font>
      <sz val="9"/>
      <name val="Verdana"/>
      <family val="2"/>
    </font>
    <font>
      <sz val="10"/>
      <color theme="1"/>
      <name val="Verdana"/>
      <family val="2"/>
    </font>
    <font>
      <b/>
      <sz val="10"/>
      <color theme="1"/>
      <name val="Verdana"/>
      <family val="2"/>
    </font>
    <font>
      <sz val="11"/>
      <color theme="1"/>
      <name val="Verdana"/>
      <family val="2"/>
    </font>
    <font>
      <b/>
      <sz val="10"/>
      <name val="Verdana"/>
      <family val="2"/>
    </font>
    <font>
      <b/>
      <sz val="9"/>
      <name val="Verdana"/>
      <family val="2"/>
    </font>
    <font>
      <b/>
      <sz val="11"/>
      <color theme="1"/>
      <name val="Calibri"/>
      <family val="2"/>
      <charset val="238"/>
      <scheme val="minor"/>
    </font>
    <font>
      <b/>
      <sz val="9"/>
      <color theme="1"/>
      <name val="Arial"/>
      <family val="2"/>
    </font>
    <font>
      <sz val="9"/>
      <color theme="1"/>
      <name val="Calibri"/>
      <family val="2"/>
      <charset val="238"/>
      <scheme val="minor"/>
    </font>
    <font>
      <b/>
      <sz val="10"/>
      <color rgb="FF000000"/>
      <name val="Verdana"/>
      <family val="2"/>
    </font>
    <font>
      <b/>
      <sz val="11"/>
      <color theme="1"/>
      <name val="Verdana"/>
      <family val="2"/>
    </font>
    <font>
      <b/>
      <sz val="16"/>
      <color theme="1"/>
      <name val="Verdana"/>
      <family val="2"/>
    </font>
    <font>
      <b/>
      <sz val="16"/>
      <color theme="1"/>
      <name val="Calibri"/>
      <family val="2"/>
      <charset val="238"/>
      <scheme val="minor"/>
    </font>
    <font>
      <sz val="9"/>
      <color indexed="81"/>
      <name val="Segoe UI"/>
      <family val="2"/>
    </font>
    <font>
      <b/>
      <sz val="9"/>
      <color indexed="81"/>
      <name val="Segoe UI"/>
      <family val="2"/>
    </font>
    <font>
      <sz val="10"/>
      <color theme="1"/>
      <name val="Calibri"/>
      <family val="2"/>
      <charset val="238"/>
      <scheme val="minor"/>
    </font>
    <font>
      <sz val="9"/>
      <color rgb="FFFF0000"/>
      <name val="Verdana"/>
      <family val="2"/>
    </font>
    <font>
      <sz val="12"/>
      <color theme="1"/>
      <name val="Calibri"/>
      <family val="2"/>
      <scheme val="minor"/>
    </font>
    <font>
      <sz val="11"/>
      <color rgb="FF000000"/>
      <name val="Calibri"/>
      <family val="2"/>
      <charset val="238"/>
    </font>
    <font>
      <sz val="8"/>
      <name val="Arial"/>
      <family val="2"/>
    </font>
    <font>
      <b/>
      <sz val="11"/>
      <name val="Calibri"/>
      <family val="2"/>
      <charset val="238"/>
      <scheme val="minor"/>
    </font>
    <font>
      <sz val="9"/>
      <color rgb="FF000000"/>
      <name val="Verdana"/>
      <family val="2"/>
    </font>
    <font>
      <b/>
      <sz val="11"/>
      <name val="Verdana"/>
      <family val="2"/>
    </font>
    <font>
      <b/>
      <sz val="11"/>
      <color rgb="FFFF0000"/>
      <name val="Verdana"/>
      <family val="2"/>
    </font>
    <font>
      <b/>
      <sz val="9"/>
      <color theme="1"/>
      <name val="Calibri"/>
      <family val="2"/>
      <charset val="238"/>
      <scheme val="minor"/>
    </font>
    <font>
      <b/>
      <sz val="9"/>
      <color theme="0"/>
      <name val="Verdana"/>
      <family val="2"/>
    </font>
    <font>
      <sz val="9"/>
      <color theme="0"/>
      <name val="Verdana"/>
      <family val="2"/>
    </font>
    <font>
      <b/>
      <sz val="7"/>
      <color theme="1"/>
      <name val="Verdana"/>
      <family val="2"/>
    </font>
    <font>
      <b/>
      <sz val="10"/>
      <color theme="1"/>
      <name val="Calibri"/>
      <family val="2"/>
      <charset val="238"/>
      <scheme val="minor"/>
    </font>
    <font>
      <b/>
      <sz val="9"/>
      <color rgb="FF374151"/>
      <name val="Verdana"/>
      <family val="2"/>
    </font>
    <font>
      <b/>
      <sz val="8"/>
      <color theme="1"/>
      <name val="Verdana"/>
      <family val="2"/>
    </font>
    <font>
      <b/>
      <sz val="8"/>
      <color rgb="FFFF0000"/>
      <name val="Verdana"/>
      <family val="2"/>
    </font>
    <font>
      <sz val="8"/>
      <color theme="1"/>
      <name val="Verdana"/>
      <family val="2"/>
    </font>
    <font>
      <b/>
      <sz val="14"/>
      <color theme="1"/>
      <name val="Verdana"/>
      <family val="2"/>
    </font>
    <font>
      <b/>
      <sz val="14"/>
      <color theme="1"/>
      <name val="Calibri"/>
      <family val="2"/>
      <charset val="238"/>
      <scheme val="minor"/>
    </font>
    <font>
      <sz val="9"/>
      <color theme="10"/>
      <name val="Verdana"/>
      <family val="2"/>
    </font>
    <font>
      <b/>
      <sz val="16"/>
      <color rgb="FFFF0000"/>
      <name val="Verdana"/>
      <family val="2"/>
    </font>
    <font>
      <b/>
      <sz val="8"/>
      <color theme="1"/>
      <name val="Calibri"/>
      <family val="2"/>
      <charset val="238"/>
      <scheme val="minor"/>
    </font>
    <font>
      <sz val="8"/>
      <color theme="1"/>
      <name val="Calibri"/>
      <family val="2"/>
      <charset val="238"/>
      <scheme val="minor"/>
    </font>
    <font>
      <b/>
      <sz val="8"/>
      <name val="Verdana"/>
      <family val="2"/>
    </font>
    <font>
      <sz val="9"/>
      <color indexed="81"/>
      <name val="Tahoma"/>
      <family val="2"/>
    </font>
    <font>
      <b/>
      <sz val="9"/>
      <color indexed="81"/>
      <name val="Tahoma"/>
      <family val="2"/>
    </font>
    <font>
      <b/>
      <sz val="7"/>
      <color theme="0"/>
      <name val="Verdana"/>
      <family val="2"/>
    </font>
    <font>
      <sz val="10"/>
      <color theme="1"/>
      <name val="Arial"/>
      <family val="2"/>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499984740745262"/>
        <bgColor indexed="64"/>
      </patternFill>
    </fill>
  </fills>
  <borders count="30">
    <border>
      <left/>
      <right/>
      <top/>
      <bottom/>
      <diagonal/>
    </border>
    <border>
      <left style="medium">
        <color indexed="64"/>
      </left>
      <right style="thick">
        <color indexed="64"/>
      </right>
      <top/>
      <bottom/>
      <diagonal/>
    </border>
    <border>
      <left style="thick">
        <color indexed="64"/>
      </left>
      <right/>
      <top/>
      <bottom/>
      <diagonal/>
    </border>
    <border>
      <left style="medium">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n">
        <color auto="1"/>
      </top>
      <bottom style="thin">
        <color auto="1"/>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ck">
        <color indexed="64"/>
      </right>
      <top/>
      <bottom style="thick">
        <color indexed="64"/>
      </bottom>
      <diagonal/>
    </border>
    <border>
      <left/>
      <right style="thick">
        <color indexed="64"/>
      </right>
      <top style="thick">
        <color indexed="64"/>
      </top>
      <bottom/>
      <diagonal/>
    </border>
    <border>
      <left/>
      <right/>
      <top style="medium">
        <color indexed="64"/>
      </top>
      <bottom/>
      <diagonal/>
    </border>
    <border>
      <left/>
      <right style="thick">
        <color indexed="64"/>
      </right>
      <top/>
      <bottom/>
      <diagonal/>
    </border>
    <border>
      <left/>
      <right style="thick">
        <color indexed="64"/>
      </right>
      <top style="medium">
        <color indexed="64"/>
      </top>
      <bottom/>
      <diagonal/>
    </border>
    <border>
      <left/>
      <right style="thick">
        <color indexed="64"/>
      </right>
      <top/>
      <bottom style="thin">
        <color auto="1"/>
      </bottom>
      <diagonal/>
    </border>
  </borders>
  <cellStyleXfs count="227">
    <xf numFmtId="0" fontId="0" fillId="0" borderId="0"/>
    <xf numFmtId="0" fontId="4" fillId="0" borderId="0" applyNumberFormat="0" applyFill="0" applyBorder="0" applyAlignment="0" applyProtection="0"/>
    <xf numFmtId="44" fontId="8" fillId="0" borderId="0" applyFont="0" applyFill="0" applyBorder="0" applyAlignment="0" applyProtection="0"/>
    <xf numFmtId="0" fontId="3" fillId="0" borderId="0"/>
    <xf numFmtId="0" fontId="9" fillId="0" borderId="0"/>
    <xf numFmtId="0" fontId="3" fillId="0" borderId="0"/>
    <xf numFmtId="0" fontId="3" fillId="0" borderId="0"/>
    <xf numFmtId="0" fontId="9" fillId="0" borderId="0"/>
    <xf numFmtId="0" fontId="3" fillId="0" borderId="0"/>
    <xf numFmtId="0" fontId="9" fillId="0" borderId="0"/>
    <xf numFmtId="0" fontId="3" fillId="0" borderId="0"/>
    <xf numFmtId="0" fontId="9" fillId="0" borderId="0"/>
    <xf numFmtId="0" fontId="9" fillId="0" borderId="0"/>
    <xf numFmtId="0" fontId="3" fillId="0" borderId="0"/>
    <xf numFmtId="0" fontId="9" fillId="0" borderId="0"/>
    <xf numFmtId="0" fontId="3" fillId="0" borderId="0"/>
    <xf numFmtId="0" fontId="9"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9" fillId="0" borderId="0"/>
    <xf numFmtId="0" fontId="3" fillId="0" borderId="0"/>
    <xf numFmtId="0" fontId="9" fillId="0" borderId="0"/>
    <xf numFmtId="0" fontId="9" fillId="0" borderId="0"/>
    <xf numFmtId="0" fontId="9" fillId="0" borderId="0"/>
    <xf numFmtId="0" fontId="3" fillId="0" borderId="0"/>
    <xf numFmtId="0" fontId="1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5" fillId="0" borderId="0"/>
    <xf numFmtId="164"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37" fillId="0" borderId="0"/>
  </cellStyleXfs>
  <cellXfs count="449">
    <xf numFmtId="0" fontId="0" fillId="0" borderId="0" xfId="0"/>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xf numFmtId="0" fontId="10" fillId="0" borderId="0" xfId="1" applyFont="1" applyAlignment="1">
      <alignment horizontal="left" vertical="center"/>
    </xf>
    <xf numFmtId="2" fontId="5" fillId="0" borderId="0" xfId="0" applyNumberFormat="1" applyFont="1" applyAlignment="1">
      <alignment wrapText="1"/>
    </xf>
    <xf numFmtId="0" fontId="7" fillId="0" borderId="0" xfId="0" applyFont="1"/>
    <xf numFmtId="0" fontId="13" fillId="0" borderId="0" xfId="0" applyFont="1" applyAlignment="1">
      <alignment vertical="center" wrapText="1"/>
    </xf>
    <xf numFmtId="0" fontId="16" fillId="0" borderId="0" xfId="0" applyFont="1" applyAlignment="1">
      <alignment horizontal="center" vertical="center" wrapText="1"/>
    </xf>
    <xf numFmtId="0" fontId="7" fillId="0" borderId="0" xfId="0" applyFont="1" applyAlignment="1">
      <alignment horizontal="center" vertical="center" wrapText="1"/>
    </xf>
    <xf numFmtId="0" fontId="12" fillId="2" borderId="6" xfId="0" applyFont="1" applyFill="1" applyBorder="1" applyAlignment="1">
      <alignment vertical="center"/>
    </xf>
    <xf numFmtId="0" fontId="7" fillId="0" borderId="4" xfId="0" applyFont="1" applyBorder="1" applyAlignment="1">
      <alignment vertical="center"/>
    </xf>
    <xf numFmtId="0" fontId="26" fillId="2" borderId="6" xfId="0" applyFont="1" applyFill="1" applyBorder="1" applyAlignment="1">
      <alignment vertical="center"/>
    </xf>
    <xf numFmtId="0" fontId="25" fillId="2" borderId="6" xfId="0" applyFont="1" applyFill="1" applyBorder="1" applyAlignment="1">
      <alignment vertical="center"/>
    </xf>
    <xf numFmtId="0" fontId="5" fillId="0" borderId="5" xfId="0" applyFont="1" applyBorder="1" applyAlignment="1">
      <alignment vertical="center"/>
    </xf>
    <xf numFmtId="0" fontId="19" fillId="2" borderId="6" xfId="0" applyFont="1" applyFill="1" applyBorder="1"/>
    <xf numFmtId="0" fontId="21" fillId="0" borderId="5" xfId="0" applyFont="1" applyBorder="1" applyAlignment="1">
      <alignment vertical="center"/>
    </xf>
    <xf numFmtId="0" fontId="20" fillId="2" borderId="6" xfId="0" applyFont="1" applyFill="1" applyBorder="1" applyAlignment="1">
      <alignment vertical="center"/>
    </xf>
    <xf numFmtId="0" fontId="5" fillId="2" borderId="6" xfId="0" applyFont="1" applyFill="1" applyBorder="1" applyAlignment="1">
      <alignment vertical="center"/>
    </xf>
    <xf numFmtId="0" fontId="5" fillId="0" borderId="12" xfId="0" applyFont="1" applyBorder="1" applyAlignment="1">
      <alignment horizontal="center" vertical="center"/>
    </xf>
    <xf numFmtId="0" fontId="5" fillId="0" borderId="12" xfId="6" applyFont="1" applyBorder="1" applyAlignment="1">
      <alignment horizontal="center" vertical="center"/>
    </xf>
    <xf numFmtId="0" fontId="5" fillId="0" borderId="12" xfId="6" applyFont="1" applyBorder="1" applyAlignment="1">
      <alignment horizontal="left" vertical="center"/>
    </xf>
    <xf numFmtId="0" fontId="5" fillId="0" borderId="12" xfId="0" applyFont="1" applyBorder="1" applyAlignment="1">
      <alignment vertical="center" wrapText="1"/>
    </xf>
    <xf numFmtId="0" fontId="18" fillId="0" borderId="12" xfId="14" applyFont="1" applyBorder="1" applyAlignment="1">
      <alignment horizontal="center" vertical="center"/>
    </xf>
    <xf numFmtId="0" fontId="5" fillId="0" borderId="12" xfId="15" applyFont="1" applyBorder="1" applyAlignment="1">
      <alignment vertical="center" wrapText="1"/>
    </xf>
    <xf numFmtId="0" fontId="5" fillId="0" borderId="12" xfId="15" applyFont="1" applyBorder="1" applyAlignment="1">
      <alignment horizontal="center" vertical="center"/>
    </xf>
    <xf numFmtId="0" fontId="5" fillId="0" borderId="12" xfId="13" applyFont="1" applyBorder="1" applyAlignment="1">
      <alignment vertical="center" wrapText="1"/>
    </xf>
    <xf numFmtId="0" fontId="5" fillId="0" borderId="12" xfId="13" applyFont="1" applyBorder="1" applyAlignment="1">
      <alignment horizontal="center" vertical="center"/>
    </xf>
    <xf numFmtId="0" fontId="5" fillId="0" borderId="12" xfId="0" applyFont="1" applyBorder="1" applyAlignment="1">
      <alignment horizontal="center"/>
    </xf>
    <xf numFmtId="0" fontId="6" fillId="0" borderId="12" xfId="0" applyFont="1" applyBorder="1" applyAlignment="1">
      <alignment horizontal="center" vertical="center" wrapText="1"/>
    </xf>
    <xf numFmtId="0" fontId="18" fillId="0" borderId="12" xfId="33" applyFont="1" applyBorder="1" applyAlignment="1">
      <alignment horizontal="center" vertical="center"/>
    </xf>
    <xf numFmtId="0" fontId="5" fillId="0" borderId="12" xfId="33" applyFont="1" applyBorder="1" applyAlignment="1">
      <alignment horizontal="left" vertical="center"/>
    </xf>
    <xf numFmtId="0" fontId="5" fillId="0" borderId="12" xfId="33" applyFont="1" applyBorder="1" applyAlignment="1">
      <alignment horizontal="center" vertical="center"/>
    </xf>
    <xf numFmtId="0" fontId="27" fillId="0" borderId="12" xfId="0" applyFont="1" applyBorder="1" applyAlignment="1">
      <alignment horizontal="center" vertical="center" wrapText="1"/>
    </xf>
    <xf numFmtId="0" fontId="18" fillId="0" borderId="12" xfId="36" applyFont="1" applyBorder="1" applyAlignment="1">
      <alignment horizontal="center" vertical="center"/>
    </xf>
    <xf numFmtId="0" fontId="5" fillId="0" borderId="12" xfId="36" applyFont="1" applyBorder="1" applyAlignment="1">
      <alignment vertical="center"/>
    </xf>
    <xf numFmtId="0" fontId="5" fillId="0" borderId="12" xfId="36" applyFont="1" applyBorder="1" applyAlignment="1">
      <alignment horizontal="center" vertical="center"/>
    </xf>
    <xf numFmtId="0" fontId="5" fillId="0" borderId="12" xfId="35" applyFont="1" applyBorder="1" applyAlignment="1">
      <alignment horizontal="center" vertical="center"/>
    </xf>
    <xf numFmtId="0" fontId="18" fillId="0" borderId="12" xfId="20" applyFont="1" applyBorder="1" applyAlignment="1">
      <alignment horizontal="center" vertical="center"/>
    </xf>
    <xf numFmtId="0" fontId="5" fillId="0" borderId="12" xfId="37" applyFont="1" applyBorder="1" applyAlignment="1">
      <alignment vertical="center"/>
    </xf>
    <xf numFmtId="0" fontId="5" fillId="0" borderId="12" xfId="37" applyFont="1" applyBorder="1" applyAlignment="1">
      <alignment horizontal="center" vertical="center"/>
    </xf>
    <xf numFmtId="0" fontId="18" fillId="0" borderId="12" xfId="9" applyFont="1" applyBorder="1" applyAlignment="1">
      <alignment horizontal="center" vertical="center"/>
    </xf>
    <xf numFmtId="0" fontId="5" fillId="0" borderId="12" xfId="38" applyFont="1" applyBorder="1" applyAlignment="1">
      <alignment vertical="center"/>
    </xf>
    <xf numFmtId="0" fontId="5" fillId="0" borderId="12" xfId="38" applyFont="1" applyBorder="1" applyAlignment="1">
      <alignment horizontal="center" vertical="center"/>
    </xf>
    <xf numFmtId="0" fontId="18" fillId="0" borderId="12" xfId="37" applyFont="1" applyBorder="1" applyAlignment="1">
      <alignment horizontal="left" vertical="center"/>
    </xf>
    <xf numFmtId="0" fontId="5" fillId="0" borderId="0" xfId="0" applyFont="1" applyAlignment="1">
      <alignment horizontal="center" vertical="center" wrapText="1"/>
    </xf>
    <xf numFmtId="0" fontId="0" fillId="0" borderId="0" xfId="0" applyAlignment="1">
      <alignment wrapText="1"/>
    </xf>
    <xf numFmtId="2" fontId="5" fillId="0" borderId="0" xfId="0" applyNumberFormat="1" applyFont="1" applyAlignment="1">
      <alignment horizontal="center" vertical="center" wrapText="1"/>
    </xf>
    <xf numFmtId="2" fontId="16" fillId="0" borderId="0" xfId="0" applyNumberFormat="1" applyFont="1" applyAlignment="1">
      <alignment horizontal="center" vertical="center" wrapText="1"/>
    </xf>
    <xf numFmtId="0" fontId="18" fillId="0" borderId="12" xfId="0" applyFont="1" applyBorder="1" applyAlignment="1">
      <alignment horizontal="left" vertical="center" wrapText="1"/>
    </xf>
    <xf numFmtId="0" fontId="7"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 fillId="0" borderId="0" xfId="0" applyFont="1" applyAlignment="1">
      <alignment horizontal="center" vertical="center"/>
    </xf>
    <xf numFmtId="0" fontId="24" fillId="2" borderId="13" xfId="0" applyFont="1" applyFill="1" applyBorder="1" applyAlignment="1">
      <alignment vertical="center"/>
    </xf>
    <xf numFmtId="0" fontId="7" fillId="0" borderId="0" xfId="0" applyFont="1" applyAlignment="1">
      <alignment horizontal="center" vertical="top" wrapText="1"/>
    </xf>
    <xf numFmtId="0" fontId="16" fillId="0" borderId="0" xfId="0" applyFont="1" applyAlignment="1">
      <alignment horizontal="left" vertical="center" wrapText="1"/>
    </xf>
    <xf numFmtId="0" fontId="18" fillId="0" borderId="12" xfId="24" applyFont="1" applyBorder="1" applyAlignment="1">
      <alignment horizontal="center" vertical="center"/>
    </xf>
    <xf numFmtId="0" fontId="18" fillId="0" borderId="12" xfId="24" applyFont="1" applyBorder="1" applyAlignment="1">
      <alignment horizontal="left" vertical="center"/>
    </xf>
    <xf numFmtId="0" fontId="7" fillId="0" borderId="12" xfId="0" applyFont="1" applyBorder="1" applyAlignment="1">
      <alignment horizontal="center" vertical="center" wrapText="1"/>
    </xf>
    <xf numFmtId="0" fontId="7" fillId="3" borderId="12"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5" fillId="0" borderId="12" xfId="0" applyFont="1" applyBorder="1" applyAlignment="1">
      <alignment horizontal="left" vertical="center" wrapText="1"/>
    </xf>
    <xf numFmtId="9" fontId="16" fillId="0" borderId="4" xfId="0" applyNumberFormat="1" applyFont="1" applyBorder="1" applyAlignment="1">
      <alignment horizontal="right" vertical="center" wrapText="1"/>
    </xf>
    <xf numFmtId="0" fontId="34" fillId="0" borderId="0" xfId="0" applyFont="1"/>
    <xf numFmtId="9" fontId="16" fillId="0" borderId="4" xfId="0" applyNumberFormat="1" applyFont="1" applyBorder="1" applyAlignment="1">
      <alignment vertical="center" wrapText="1"/>
    </xf>
    <xf numFmtId="0" fontId="7" fillId="0" borderId="12" xfId="0" applyFont="1" applyBorder="1" applyAlignment="1">
      <alignment vertical="center" wrapText="1"/>
    </xf>
    <xf numFmtId="2" fontId="22" fillId="0" borderId="12" xfId="3" applyNumberFormat="1" applyFont="1" applyBorder="1" applyAlignment="1">
      <alignment horizontal="left" vertical="center" wrapText="1"/>
    </xf>
    <xf numFmtId="0" fontId="7" fillId="3" borderId="14" xfId="0" applyFont="1" applyFill="1" applyBorder="1" applyAlignment="1">
      <alignment horizontal="center" vertical="center" wrapText="1"/>
    </xf>
    <xf numFmtId="0" fontId="7" fillId="3" borderId="18" xfId="0" applyFont="1" applyFill="1" applyBorder="1" applyAlignment="1">
      <alignment horizontal="center" vertical="center" wrapText="1"/>
    </xf>
    <xf numFmtId="1" fontId="16" fillId="3" borderId="12" xfId="0" applyNumberFormat="1" applyFont="1" applyFill="1" applyBorder="1" applyAlignment="1">
      <alignment horizontal="center" vertical="center" wrapText="1"/>
    </xf>
    <xf numFmtId="1" fontId="16" fillId="3" borderId="14" xfId="0" applyNumberFormat="1" applyFont="1" applyFill="1" applyBorder="1" applyAlignment="1">
      <alignment horizontal="center" vertical="center" wrapText="1"/>
    </xf>
    <xf numFmtId="0" fontId="5" fillId="0" borderId="14" xfId="0" applyFont="1" applyBorder="1" applyAlignment="1">
      <alignment horizontal="center" vertical="center"/>
    </xf>
    <xf numFmtId="0" fontId="5" fillId="0" borderId="14" xfId="6" applyFont="1" applyBorder="1" applyAlignment="1">
      <alignment horizontal="center" vertical="center"/>
    </xf>
    <xf numFmtId="0" fontId="5" fillId="0" borderId="14" xfId="6" applyFont="1" applyBorder="1" applyAlignment="1">
      <alignment horizontal="left" vertical="center"/>
    </xf>
    <xf numFmtId="2" fontId="5" fillId="0" borderId="14" xfId="2" applyNumberFormat="1" applyFont="1" applyBorder="1" applyAlignment="1">
      <alignment horizontal="center" vertical="center"/>
    </xf>
    <xf numFmtId="0" fontId="18" fillId="0" borderId="12" xfId="6" applyFont="1" applyBorder="1" applyAlignment="1">
      <alignment horizontal="center" vertical="center"/>
    </xf>
    <xf numFmtId="0" fontId="18" fillId="0" borderId="12" xfId="6" applyFont="1" applyBorder="1" applyAlignment="1">
      <alignment horizontal="left" vertical="center"/>
    </xf>
    <xf numFmtId="0" fontId="18" fillId="0" borderId="12" xfId="0" applyFont="1" applyBorder="1" applyAlignment="1">
      <alignment horizontal="left" vertical="center"/>
    </xf>
    <xf numFmtId="0" fontId="5" fillId="0" borderId="12" xfId="6" applyFont="1" applyBorder="1" applyAlignment="1">
      <alignment horizontal="left" vertical="center" wrapText="1"/>
    </xf>
    <xf numFmtId="0" fontId="5" fillId="0" borderId="19" xfId="0" applyFont="1" applyBorder="1" applyAlignment="1">
      <alignment horizontal="center" vertical="center"/>
    </xf>
    <xf numFmtId="0" fontId="5" fillId="0" borderId="6" xfId="6" applyFont="1" applyBorder="1" applyAlignment="1">
      <alignment horizontal="center" vertical="center"/>
    </xf>
    <xf numFmtId="0" fontId="18" fillId="0" borderId="12" xfId="31" applyFont="1" applyBorder="1" applyAlignment="1">
      <alignment horizontal="center" vertical="center"/>
    </xf>
    <xf numFmtId="0" fontId="7" fillId="0" borderId="0" xfId="0" applyFont="1" applyAlignment="1">
      <alignment wrapText="1"/>
    </xf>
    <xf numFmtId="2" fontId="6" fillId="0" borderId="12" xfId="0" applyNumberFormat="1" applyFont="1" applyBorder="1" applyAlignment="1">
      <alignment horizontal="center" vertical="center" wrapText="1"/>
    </xf>
    <xf numFmtId="2" fontId="16" fillId="0" borderId="12"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16" fillId="0" borderId="8" xfId="0" applyNumberFormat="1" applyFont="1" applyBorder="1" applyAlignment="1">
      <alignment horizontal="center" vertical="center" wrapText="1"/>
    </xf>
    <xf numFmtId="2" fontId="16" fillId="0" borderId="3"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6" xfId="35" applyFont="1" applyBorder="1" applyAlignment="1">
      <alignment horizontal="center" vertical="center"/>
    </xf>
    <xf numFmtId="0" fontId="18" fillId="0" borderId="12" xfId="22" applyFont="1" applyBorder="1" applyAlignment="1">
      <alignment horizontal="left" vertical="center" wrapText="1"/>
    </xf>
    <xf numFmtId="0" fontId="18" fillId="0" borderId="12" xfId="22" applyFont="1" applyBorder="1" applyAlignment="1">
      <alignment horizontal="center" vertical="center"/>
    </xf>
    <xf numFmtId="0" fontId="7" fillId="0" borderId="0" xfId="0" applyFont="1" applyAlignment="1">
      <alignment horizontal="center" vertical="center"/>
    </xf>
    <xf numFmtId="2" fontId="22" fillId="3" borderId="0" xfId="3" applyNumberFormat="1" applyFont="1" applyFill="1" applyAlignment="1">
      <alignment horizontal="left" vertical="center" wrapText="1"/>
    </xf>
    <xf numFmtId="0" fontId="28" fillId="0" borderId="0" xfId="0" applyFont="1" applyAlignment="1">
      <alignment horizontal="center" vertical="center"/>
    </xf>
    <xf numFmtId="0" fontId="7" fillId="3" borderId="0" xfId="0" applyFont="1" applyFill="1" applyAlignment="1">
      <alignment horizontal="center" vertical="center" wrapText="1"/>
    </xf>
    <xf numFmtId="0" fontId="5" fillId="0" borderId="0" xfId="0" applyFont="1" applyAlignment="1">
      <alignment horizontal="left" vertical="center" wrapText="1"/>
    </xf>
    <xf numFmtId="1" fontId="16" fillId="3" borderId="18" xfId="0" applyNumberFormat="1" applyFont="1" applyFill="1" applyBorder="1" applyAlignment="1">
      <alignment horizontal="center" vertical="center" wrapText="1"/>
    </xf>
    <xf numFmtId="0" fontId="7" fillId="2" borderId="21" xfId="0" applyFont="1" applyFill="1" applyBorder="1" applyAlignment="1">
      <alignment horizontal="center" vertical="center"/>
    </xf>
    <xf numFmtId="1" fontId="5" fillId="0" borderId="12" xfId="35" applyNumberFormat="1" applyFont="1" applyBorder="1" applyAlignment="1">
      <alignment horizontal="center" vertical="center"/>
    </xf>
    <xf numFmtId="0" fontId="5" fillId="0" borderId="0" xfId="0" applyFont="1" applyAlignment="1">
      <alignment vertical="center"/>
    </xf>
    <xf numFmtId="0" fontId="20" fillId="0" borderId="0" xfId="0" applyFont="1" applyAlignment="1">
      <alignment vertical="center"/>
    </xf>
    <xf numFmtId="0" fontId="39"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12" xfId="25" applyFont="1" applyBorder="1" applyAlignment="1">
      <alignment horizontal="center" vertical="center"/>
    </xf>
    <xf numFmtId="0" fontId="29" fillId="0" borderId="10" xfId="0" applyFont="1" applyBorder="1" applyAlignment="1">
      <alignment horizontal="center" vertical="center" wrapText="1"/>
    </xf>
    <xf numFmtId="0" fontId="30" fillId="0" borderId="10" xfId="0" applyFont="1" applyBorder="1" applyAlignment="1">
      <alignment horizontal="center" wrapText="1"/>
    </xf>
    <xf numFmtId="0" fontId="7" fillId="0" borderId="17" xfId="0" applyFont="1" applyBorder="1" applyAlignment="1">
      <alignment horizontal="center" vertical="center"/>
    </xf>
    <xf numFmtId="165" fontId="16" fillId="3" borderId="12" xfId="0" applyNumberFormat="1" applyFont="1" applyFill="1" applyBorder="1" applyAlignment="1">
      <alignment horizontal="center" vertical="center" wrapText="1"/>
    </xf>
    <xf numFmtId="2" fontId="16" fillId="2" borderId="12" xfId="0" applyNumberFormat="1" applyFont="1" applyFill="1" applyBorder="1" applyAlignment="1">
      <alignment horizontal="center" vertical="center" wrapText="1"/>
    </xf>
    <xf numFmtId="1" fontId="16" fillId="3" borderId="0" xfId="0" applyNumberFormat="1" applyFont="1" applyFill="1" applyAlignment="1">
      <alignment horizontal="center" vertical="center" wrapText="1"/>
    </xf>
    <xf numFmtId="2" fontId="40" fillId="2" borderId="24" xfId="0" applyNumberFormat="1" applyFont="1" applyFill="1" applyBorder="1" applyAlignment="1">
      <alignment horizontal="center" vertical="center" wrapText="1"/>
    </xf>
    <xf numFmtId="2" fontId="40" fillId="2" borderId="18" xfId="0" applyNumberFormat="1" applyFont="1" applyFill="1" applyBorder="1" applyAlignment="1">
      <alignment horizontal="center" vertical="center" wrapText="1"/>
    </xf>
    <xf numFmtId="0" fontId="28" fillId="2" borderId="18" xfId="0" applyFont="1" applyFill="1" applyBorder="1" applyAlignment="1">
      <alignment horizontal="center" vertical="center"/>
    </xf>
    <xf numFmtId="2" fontId="22" fillId="0" borderId="6" xfId="3" applyNumberFormat="1" applyFont="1" applyBorder="1" applyAlignment="1">
      <alignment horizontal="left" vertical="center" wrapText="1"/>
    </xf>
    <xf numFmtId="1" fontId="5" fillId="0" borderId="0" xfId="0" applyNumberFormat="1" applyFont="1" applyAlignment="1">
      <alignment horizontal="center" vertical="center"/>
    </xf>
    <xf numFmtId="0" fontId="28" fillId="2" borderId="22" xfId="0" applyFont="1" applyFill="1" applyBorder="1" applyAlignment="1">
      <alignment horizontal="center" vertical="center"/>
    </xf>
    <xf numFmtId="0" fontId="7" fillId="2" borderId="12" xfId="0" applyFont="1" applyFill="1" applyBorder="1" applyAlignment="1">
      <alignment horizontal="center" vertical="center" wrapText="1"/>
    </xf>
    <xf numFmtId="165" fontId="16" fillId="0" borderId="0" xfId="0" applyNumberFormat="1" applyFont="1" applyAlignment="1">
      <alignment horizontal="left" vertical="center" wrapText="1"/>
    </xf>
    <xf numFmtId="0" fontId="7" fillId="5" borderId="12" xfId="0" applyFont="1" applyFill="1" applyBorder="1" applyAlignment="1">
      <alignment horizontal="center" vertical="center"/>
    </xf>
    <xf numFmtId="0" fontId="7" fillId="5" borderId="12" xfId="0"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xf>
    <xf numFmtId="2" fontId="41" fillId="2" borderId="12" xfId="0" applyNumberFormat="1" applyFont="1" applyFill="1" applyBorder="1" applyAlignment="1">
      <alignment horizontal="center" vertical="center" wrapText="1"/>
    </xf>
    <xf numFmtId="0" fontId="7" fillId="0" borderId="0" xfId="0" applyFont="1" applyAlignment="1">
      <alignment horizontal="left" vertical="center" wrapText="1"/>
    </xf>
    <xf numFmtId="0" fontId="5" fillId="3" borderId="0" xfId="0" applyFont="1" applyFill="1"/>
    <xf numFmtId="0" fontId="7" fillId="3" borderId="0" xfId="0" applyFont="1" applyFill="1" applyAlignment="1">
      <alignment horizontal="left" vertical="center"/>
    </xf>
    <xf numFmtId="2" fontId="23" fillId="0" borderId="12" xfId="3" applyNumberFormat="1" applyFont="1" applyBorder="1" applyAlignment="1">
      <alignment horizontal="left" vertical="center" wrapText="1"/>
    </xf>
    <xf numFmtId="0" fontId="42" fillId="0" borderId="17" xfId="0" applyFont="1" applyBorder="1" applyAlignment="1">
      <alignment horizontal="center" vertical="center"/>
    </xf>
    <xf numFmtId="2" fontId="23" fillId="3" borderId="12" xfId="3" applyNumberFormat="1" applyFont="1" applyFill="1" applyBorder="1" applyAlignment="1">
      <alignment horizontal="left" vertical="center" wrapText="1"/>
    </xf>
    <xf numFmtId="2" fontId="23" fillId="3" borderId="14" xfId="3" applyNumberFormat="1" applyFont="1" applyFill="1" applyBorder="1" applyAlignment="1">
      <alignment horizontal="left" vertical="center" wrapText="1"/>
    </xf>
    <xf numFmtId="0" fontId="42" fillId="0" borderId="18" xfId="0" applyFont="1" applyBorder="1" applyAlignment="1">
      <alignment horizontal="center" vertical="center"/>
    </xf>
    <xf numFmtId="0" fontId="42" fillId="0" borderId="14" xfId="0" applyFont="1" applyBorder="1" applyAlignment="1">
      <alignment horizontal="center" vertical="center"/>
    </xf>
    <xf numFmtId="2" fontId="23" fillId="0" borderId="6" xfId="3" applyNumberFormat="1" applyFont="1" applyBorder="1" applyAlignment="1">
      <alignment horizontal="left" vertical="center" wrapText="1"/>
    </xf>
    <xf numFmtId="2" fontId="23" fillId="3" borderId="6" xfId="3" applyNumberFormat="1" applyFont="1" applyFill="1" applyBorder="1" applyAlignment="1">
      <alignment horizontal="left" vertical="center" wrapText="1"/>
    </xf>
    <xf numFmtId="1" fontId="5" fillId="0" borderId="12" xfId="33" applyNumberFormat="1" applyFont="1" applyBorder="1" applyAlignment="1">
      <alignment horizontal="center" vertical="center"/>
    </xf>
    <xf numFmtId="0" fontId="43" fillId="0" borderId="0" xfId="0" applyFont="1" applyAlignment="1">
      <alignment horizontal="center" vertical="top" wrapText="1"/>
    </xf>
    <xf numFmtId="0" fontId="43" fillId="0" borderId="0" xfId="0" applyFont="1" applyAlignment="1">
      <alignment horizontal="center" vertical="center" wrapText="1"/>
    </xf>
    <xf numFmtId="0" fontId="44" fillId="0" borderId="0" xfId="0" applyFont="1" applyAlignment="1">
      <alignment wrapText="1"/>
    </xf>
    <xf numFmtId="0" fontId="7" fillId="0" borderId="12" xfId="33" applyFont="1" applyBorder="1" applyAlignment="1">
      <alignment horizontal="left" vertical="center"/>
    </xf>
    <xf numFmtId="0" fontId="7" fillId="2" borderId="17" xfId="0" applyFont="1" applyFill="1" applyBorder="1" applyAlignment="1">
      <alignment horizontal="center" vertical="center"/>
    </xf>
    <xf numFmtId="2" fontId="40" fillId="3" borderId="18" xfId="0" applyNumberFormat="1" applyFont="1" applyFill="1" applyBorder="1" applyAlignment="1">
      <alignment horizontal="center" vertical="center" wrapText="1"/>
    </xf>
    <xf numFmtId="2" fontId="40" fillId="3" borderId="24" xfId="0" applyNumberFormat="1" applyFont="1" applyFill="1" applyBorder="1" applyAlignment="1">
      <alignment horizontal="center" vertical="center" wrapText="1"/>
    </xf>
    <xf numFmtId="0" fontId="21" fillId="0" borderId="0" xfId="0" applyFont="1" applyAlignment="1">
      <alignment vertical="center"/>
    </xf>
    <xf numFmtId="0" fontId="7" fillId="2" borderId="23" xfId="0" applyFont="1" applyFill="1" applyBorder="1" applyAlignment="1">
      <alignment horizontal="center" vertical="center"/>
    </xf>
    <xf numFmtId="0" fontId="45" fillId="0" borderId="0" xfId="0" applyFont="1" applyAlignment="1">
      <alignment horizontal="center" vertical="center" wrapText="1"/>
    </xf>
    <xf numFmtId="0" fontId="7" fillId="0" borderId="0" xfId="33" applyFont="1" applyAlignment="1">
      <alignment horizontal="left" vertical="center"/>
    </xf>
    <xf numFmtId="0" fontId="7" fillId="0" borderId="12" xfId="36" applyFont="1" applyBorder="1" applyAlignment="1">
      <alignment vertical="center"/>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1" fontId="5" fillId="0" borderId="12" xfId="36" applyNumberFormat="1" applyFont="1" applyBorder="1" applyAlignment="1">
      <alignment horizontal="center" vertical="center"/>
    </xf>
    <xf numFmtId="2" fontId="6" fillId="0" borderId="14" xfId="0" applyNumberFormat="1" applyFont="1" applyBorder="1" applyAlignment="1">
      <alignment horizontal="center" vertical="center" wrapText="1"/>
    </xf>
    <xf numFmtId="2" fontId="16" fillId="0" borderId="18" xfId="0" applyNumberFormat="1" applyFont="1" applyBorder="1" applyAlignment="1">
      <alignment horizontal="center" vertical="center" wrapText="1"/>
    </xf>
    <xf numFmtId="0" fontId="47" fillId="0" borderId="12" xfId="0" applyFont="1" applyBorder="1" applyAlignment="1">
      <alignment horizontal="center" vertical="center"/>
    </xf>
    <xf numFmtId="0" fontId="20" fillId="2" borderId="4" xfId="0" applyFont="1" applyFill="1" applyBorder="1" applyAlignment="1">
      <alignment vertical="center"/>
    </xf>
    <xf numFmtId="0" fontId="20" fillId="2" borderId="4" xfId="32" applyFont="1" applyFill="1" applyBorder="1" applyAlignment="1">
      <alignment horizontal="left" vertical="center"/>
    </xf>
    <xf numFmtId="0" fontId="21" fillId="2" borderId="5" xfId="0" applyFont="1" applyFill="1" applyBorder="1" applyAlignment="1">
      <alignment horizontal="left" vertical="center"/>
    </xf>
    <xf numFmtId="0" fontId="20" fillId="2" borderId="5" xfId="0" applyFont="1" applyFill="1" applyBorder="1" applyAlignment="1">
      <alignment vertical="center"/>
    </xf>
    <xf numFmtId="0" fontId="20" fillId="2" borderId="4" xfId="32" applyFont="1" applyFill="1" applyBorder="1" applyAlignment="1">
      <alignment vertical="center"/>
    </xf>
    <xf numFmtId="0" fontId="5" fillId="3" borderId="0" xfId="0" applyFont="1" applyFill="1" applyAlignment="1">
      <alignment horizontal="center" wrapText="1"/>
    </xf>
    <xf numFmtId="0" fontId="5" fillId="0" borderId="0" xfId="0" applyFont="1" applyAlignment="1">
      <alignment horizontal="center" wrapText="1"/>
    </xf>
    <xf numFmtId="2" fontId="7" fillId="3" borderId="0" xfId="0" applyNumberFormat="1" applyFont="1" applyFill="1" applyAlignment="1">
      <alignment horizontal="center" vertical="center" wrapText="1"/>
    </xf>
    <xf numFmtId="165" fontId="7" fillId="3" borderId="0" xfId="0" applyNumberFormat="1" applyFont="1" applyFill="1" applyAlignment="1">
      <alignment horizontal="center" vertical="center" wrapText="1"/>
    </xf>
    <xf numFmtId="0" fontId="7" fillId="3" borderId="0" xfId="0" applyFont="1" applyFill="1" applyAlignment="1">
      <alignment horizontal="center" vertical="center"/>
    </xf>
    <xf numFmtId="0" fontId="24" fillId="3" borderId="0" xfId="0" applyFont="1" applyFill="1" applyAlignment="1">
      <alignment horizontal="center" vertical="center"/>
    </xf>
    <xf numFmtId="2" fontId="7" fillId="3" borderId="0" xfId="0" applyNumberFormat="1" applyFont="1" applyFill="1" applyAlignment="1">
      <alignment horizontal="center" vertical="center"/>
    </xf>
    <xf numFmtId="0" fontId="7" fillId="3" borderId="0" xfId="0" applyFont="1" applyFill="1" applyAlignment="1">
      <alignment vertical="center"/>
    </xf>
    <xf numFmtId="1" fontId="16" fillId="3" borderId="0" xfId="0" applyNumberFormat="1" applyFont="1" applyFill="1" applyAlignment="1">
      <alignment horizontal="center" vertical="center"/>
    </xf>
    <xf numFmtId="0" fontId="28" fillId="3" borderId="0" xfId="0" applyFont="1" applyFill="1" applyAlignment="1">
      <alignment horizontal="center" vertical="center"/>
    </xf>
    <xf numFmtId="0" fontId="7" fillId="0" borderId="12" xfId="36" applyFont="1" applyBorder="1" applyAlignment="1">
      <alignment horizontal="center" vertical="center"/>
    </xf>
    <xf numFmtId="0" fontId="5" fillId="3" borderId="0" xfId="0" applyFont="1" applyFill="1" applyAlignment="1">
      <alignment horizontal="center" vertical="center"/>
    </xf>
    <xf numFmtId="0" fontId="7" fillId="7" borderId="12"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50" fillId="0" borderId="0" xfId="0" applyFont="1"/>
    <xf numFmtId="0" fontId="48" fillId="0" borderId="18" xfId="0" applyFont="1" applyBorder="1" applyAlignment="1">
      <alignment horizontal="center" vertical="center" wrapText="1"/>
    </xf>
    <xf numFmtId="0" fontId="48" fillId="0" borderId="18" xfId="0" applyFont="1" applyBorder="1" applyAlignment="1">
      <alignment vertical="center" wrapText="1"/>
    </xf>
    <xf numFmtId="0" fontId="46" fillId="2" borderId="5" xfId="0" applyFont="1" applyFill="1" applyBorder="1" applyAlignment="1">
      <alignment vertical="center"/>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6" xfId="0" applyFont="1" applyFill="1" applyBorder="1" applyAlignment="1">
      <alignment horizontal="left" vertical="center"/>
    </xf>
    <xf numFmtId="0" fontId="0" fillId="2" borderId="5" xfId="0" applyFill="1" applyBorder="1" applyAlignment="1">
      <alignment vertical="center"/>
    </xf>
    <xf numFmtId="0" fontId="28" fillId="2" borderId="13" xfId="0" applyFont="1" applyFill="1" applyBorder="1" applyAlignment="1">
      <alignment horizontal="left" vertical="center"/>
    </xf>
    <xf numFmtId="0" fontId="18" fillId="0" borderId="0" xfId="0" applyFont="1" applyAlignment="1">
      <alignment wrapText="1"/>
    </xf>
    <xf numFmtId="0" fontId="23" fillId="0" borderId="0" xfId="0" applyFont="1" applyAlignment="1">
      <alignment wrapText="1"/>
    </xf>
    <xf numFmtId="0" fontId="23" fillId="0" borderId="0" xfId="0" applyFont="1" applyAlignment="1">
      <alignment horizontal="center" vertical="center" wrapText="1"/>
    </xf>
    <xf numFmtId="0" fontId="18" fillId="0" borderId="0" xfId="0" applyFont="1"/>
    <xf numFmtId="165" fontId="7" fillId="5" borderId="12" xfId="0" applyNumberFormat="1" applyFont="1" applyFill="1" applyBorder="1" applyAlignment="1">
      <alignment horizontal="center" vertical="center"/>
    </xf>
    <xf numFmtId="165" fontId="7" fillId="5" borderId="12" xfId="0" applyNumberFormat="1"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5" borderId="14" xfId="0" applyFont="1" applyFill="1" applyBorder="1" applyAlignment="1">
      <alignment horizontal="center" vertical="center" wrapText="1"/>
    </xf>
    <xf numFmtId="1" fontId="40" fillId="2" borderId="18" xfId="0" applyNumberFormat="1" applyFont="1" applyFill="1" applyBorder="1" applyAlignment="1">
      <alignment horizontal="center" vertical="center" wrapText="1"/>
    </xf>
    <xf numFmtId="0" fontId="28" fillId="2" borderId="12" xfId="0" applyFont="1" applyFill="1" applyBorder="1" applyAlignment="1">
      <alignment horizontal="center" vertical="center"/>
    </xf>
    <xf numFmtId="0" fontId="28" fillId="2" borderId="16" xfId="0" applyFont="1" applyFill="1" applyBorder="1" applyAlignment="1">
      <alignment horizontal="center" vertical="center"/>
    </xf>
    <xf numFmtId="2" fontId="18" fillId="4" borderId="12" xfId="7" applyNumberFormat="1" applyFont="1" applyFill="1" applyBorder="1" applyAlignment="1">
      <alignment horizontal="center" vertical="center"/>
    </xf>
    <xf numFmtId="1" fontId="18" fillId="4" borderId="12" xfId="7" applyNumberFormat="1" applyFont="1" applyFill="1" applyBorder="1" applyAlignment="1">
      <alignment horizontal="center" vertical="center"/>
    </xf>
    <xf numFmtId="0" fontId="7" fillId="0" borderId="0" xfId="36" applyFont="1" applyAlignment="1">
      <alignment horizontal="center" vertical="center"/>
    </xf>
    <xf numFmtId="1" fontId="5" fillId="0" borderId="14" xfId="6" applyNumberFormat="1" applyFont="1" applyBorder="1" applyAlignment="1">
      <alignment horizontal="center" vertical="center"/>
    </xf>
    <xf numFmtId="0" fontId="0" fillId="0" borderId="0" xfId="0" applyAlignment="1">
      <alignment vertical="center" wrapText="1"/>
    </xf>
    <xf numFmtId="1" fontId="5" fillId="0" borderId="12" xfId="0" applyNumberFormat="1" applyFont="1" applyBorder="1" applyAlignment="1">
      <alignment horizontal="center" vertical="center"/>
    </xf>
    <xf numFmtId="0" fontId="53" fillId="0" borderId="0" xfId="1" applyFont="1" applyAlignment="1">
      <alignment horizontal="left" vertical="center"/>
    </xf>
    <xf numFmtId="0" fontId="5" fillId="0" borderId="17" xfId="0" applyFont="1" applyBorder="1"/>
    <xf numFmtId="0" fontId="5" fillId="0" borderId="18" xfId="0" applyFont="1" applyBorder="1"/>
    <xf numFmtId="165" fontId="16" fillId="3" borderId="18" xfId="0" applyNumberFormat="1" applyFont="1" applyFill="1" applyBorder="1" applyAlignment="1">
      <alignment horizontal="center" vertical="center" wrapText="1"/>
    </xf>
    <xf numFmtId="2" fontId="23" fillId="3" borderId="25" xfId="3" applyNumberFormat="1" applyFont="1" applyFill="1" applyBorder="1" applyAlignment="1">
      <alignment horizontal="left" vertical="center" wrapText="1"/>
    </xf>
    <xf numFmtId="0" fontId="42" fillId="0" borderId="0" xfId="0" applyFont="1" applyAlignment="1">
      <alignment horizontal="center" vertical="center"/>
    </xf>
    <xf numFmtId="0" fontId="7" fillId="0" borderId="4" xfId="36" applyFont="1" applyBorder="1" applyAlignment="1">
      <alignment horizontal="center" vertical="center"/>
    </xf>
    <xf numFmtId="0" fontId="7" fillId="2" borderId="4" xfId="0" applyFont="1" applyFill="1" applyBorder="1" applyAlignment="1">
      <alignment horizontal="center" vertical="center"/>
    </xf>
    <xf numFmtId="2" fontId="22" fillId="0" borderId="0" xfId="3" applyNumberFormat="1" applyFont="1" applyAlignment="1">
      <alignment horizontal="left" vertical="center" wrapText="1"/>
    </xf>
    <xf numFmtId="0" fontId="28" fillId="0" borderId="4" xfId="0" applyFont="1" applyBorder="1" applyAlignment="1">
      <alignment horizontal="center" vertical="center"/>
    </xf>
    <xf numFmtId="0" fontId="28" fillId="0" borderId="5" xfId="0" applyFont="1" applyBorder="1" applyAlignment="1">
      <alignment horizontal="center" vertical="center"/>
    </xf>
    <xf numFmtId="2" fontId="40" fillId="5" borderId="24" xfId="0" applyNumberFormat="1" applyFont="1" applyFill="1" applyBorder="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right" vertical="center"/>
    </xf>
    <xf numFmtId="165" fontId="16" fillId="3" borderId="14" xfId="0" applyNumberFormat="1" applyFont="1" applyFill="1" applyBorder="1" applyAlignment="1">
      <alignment horizontal="center" vertical="center" wrapText="1"/>
    </xf>
    <xf numFmtId="2" fontId="23" fillId="0" borderId="24" xfId="3" applyNumberFormat="1" applyFont="1" applyBorder="1" applyAlignment="1">
      <alignment horizontal="left" vertical="center" wrapText="1"/>
    </xf>
    <xf numFmtId="0" fontId="7" fillId="8" borderId="18" xfId="0" applyFont="1" applyFill="1" applyBorder="1" applyAlignment="1">
      <alignment horizontal="center" vertical="center" wrapText="1"/>
    </xf>
    <xf numFmtId="165" fontId="7" fillId="5" borderId="18" xfId="0" applyNumberFormat="1" applyFont="1" applyFill="1" applyBorder="1" applyAlignment="1">
      <alignment horizontal="center" vertical="center" wrapText="1"/>
    </xf>
    <xf numFmtId="165" fontId="16" fillId="3" borderId="0" xfId="0" applyNumberFormat="1" applyFont="1" applyFill="1" applyAlignment="1">
      <alignment horizontal="center" vertical="center" wrapText="1"/>
    </xf>
    <xf numFmtId="0" fontId="7" fillId="8" borderId="6" xfId="0" applyFont="1" applyFill="1" applyBorder="1" applyAlignment="1">
      <alignment horizontal="center" vertical="center" wrapText="1"/>
    </xf>
    <xf numFmtId="0" fontId="7" fillId="2" borderId="18" xfId="0" applyFont="1" applyFill="1" applyBorder="1" applyAlignment="1">
      <alignment horizontal="center" vertical="center"/>
    </xf>
    <xf numFmtId="2" fontId="22" fillId="0" borderId="25" xfId="3" applyNumberFormat="1" applyFont="1" applyBorder="1" applyAlignment="1">
      <alignment horizontal="left" vertical="center" wrapText="1"/>
    </xf>
    <xf numFmtId="0" fontId="5" fillId="0" borderId="0" xfId="0" applyFont="1" applyAlignment="1">
      <alignment horizontal="left" vertical="center"/>
    </xf>
    <xf numFmtId="1" fontId="7" fillId="5" borderId="14" xfId="0" applyNumberFormat="1" applyFont="1" applyFill="1" applyBorder="1" applyAlignment="1">
      <alignment horizontal="center" vertical="center"/>
    </xf>
    <xf numFmtId="1" fontId="7" fillId="5" borderId="18" xfId="0" applyNumberFormat="1" applyFont="1" applyFill="1" applyBorder="1" applyAlignment="1">
      <alignment horizontal="center" vertical="center"/>
    </xf>
    <xf numFmtId="1" fontId="7" fillId="3" borderId="0" xfId="0" applyNumberFormat="1" applyFont="1" applyFill="1" applyAlignment="1">
      <alignment horizontal="center" vertical="center"/>
    </xf>
    <xf numFmtId="1" fontId="7" fillId="5" borderId="14" xfId="0" applyNumberFormat="1" applyFont="1" applyFill="1" applyBorder="1" applyAlignment="1">
      <alignment horizontal="center" vertical="center" wrapText="1"/>
    </xf>
    <xf numFmtId="1" fontId="7" fillId="5" borderId="18" xfId="0" applyNumberFormat="1" applyFont="1" applyFill="1" applyBorder="1" applyAlignment="1">
      <alignment horizontal="center" vertical="center" wrapText="1"/>
    </xf>
    <xf numFmtId="1" fontId="7" fillId="3" borderId="0" xfId="0" applyNumberFormat="1" applyFont="1" applyFill="1" applyAlignment="1">
      <alignment horizontal="center" vertical="center" wrapText="1"/>
    </xf>
    <xf numFmtId="0" fontId="20" fillId="2" borderId="4" xfId="0" applyFont="1" applyFill="1" applyBorder="1" applyAlignment="1">
      <alignment horizontal="center" vertical="center"/>
    </xf>
    <xf numFmtId="2" fontId="16" fillId="0" borderId="0" xfId="0" applyNumberFormat="1" applyFont="1" applyAlignment="1">
      <alignment horizontal="left" vertical="center" wrapText="1"/>
    </xf>
    <xf numFmtId="0" fontId="0" fillId="0" borderId="12" xfId="0" applyBorder="1"/>
    <xf numFmtId="0" fontId="18" fillId="0" borderId="12" xfId="26" applyFont="1" applyBorder="1" applyAlignment="1">
      <alignment horizontal="center"/>
    </xf>
    <xf numFmtId="0" fontId="18" fillId="0" borderId="12" xfId="26" applyFont="1" applyBorder="1" applyAlignment="1">
      <alignment horizontal="left" vertical="center"/>
    </xf>
    <xf numFmtId="0" fontId="18" fillId="0" borderId="12" xfId="27" applyFont="1" applyBorder="1" applyAlignment="1">
      <alignment horizontal="center" vertical="center"/>
    </xf>
    <xf numFmtId="0" fontId="10" fillId="0" borderId="0" xfId="1" applyFont="1" applyAlignment="1">
      <alignment horizontal="left" vertical="top"/>
    </xf>
    <xf numFmtId="0" fontId="5" fillId="3" borderId="0" xfId="0" applyFont="1" applyFill="1" applyAlignment="1">
      <alignment horizontal="center" vertical="center" wrapText="1"/>
    </xf>
    <xf numFmtId="0" fontId="7" fillId="0" borderId="12" xfId="33" applyFont="1" applyBorder="1" applyAlignment="1">
      <alignment horizontal="center" vertical="center"/>
    </xf>
    <xf numFmtId="0" fontId="5" fillId="0" borderId="0" xfId="0" applyFont="1" applyAlignment="1">
      <alignment vertical="top"/>
    </xf>
    <xf numFmtId="0" fontId="48" fillId="0" borderId="12" xfId="0" applyFont="1" applyBorder="1" applyAlignment="1">
      <alignment vertical="center" wrapText="1"/>
    </xf>
    <xf numFmtId="0" fontId="48" fillId="5" borderId="12" xfId="0" applyFont="1" applyFill="1" applyBorder="1" applyAlignment="1">
      <alignment horizontal="center" vertical="center" wrapText="1"/>
    </xf>
    <xf numFmtId="0" fontId="48" fillId="9" borderId="12" xfId="0" applyFont="1" applyFill="1" applyBorder="1" applyAlignment="1">
      <alignment horizontal="center" vertical="center" wrapText="1"/>
    </xf>
    <xf numFmtId="0" fontId="48" fillId="0" borderId="12" xfId="0" applyFont="1" applyBorder="1" applyAlignment="1">
      <alignment horizontal="center" vertical="center" wrapText="1"/>
    </xf>
    <xf numFmtId="0" fontId="48" fillId="9" borderId="4" xfId="0" applyFont="1" applyFill="1" applyBorder="1" applyAlignment="1">
      <alignment horizontal="center" vertical="center"/>
    </xf>
    <xf numFmtId="0" fontId="48" fillId="0" borderId="14" xfId="0" applyFont="1" applyBorder="1" applyAlignment="1">
      <alignment horizontal="center" vertical="center"/>
    </xf>
    <xf numFmtId="2" fontId="57" fillId="0" borderId="6" xfId="3" applyNumberFormat="1" applyFont="1" applyBorder="1" applyAlignment="1">
      <alignment horizontal="left" vertical="center" wrapText="1"/>
    </xf>
    <xf numFmtId="0" fontId="48" fillId="2" borderId="12" xfId="0" applyFont="1" applyFill="1" applyBorder="1" applyAlignment="1">
      <alignment horizontal="center" vertical="center" wrapText="1"/>
    </xf>
    <xf numFmtId="0" fontId="48" fillId="5" borderId="12" xfId="0" applyFont="1" applyFill="1" applyBorder="1" applyAlignment="1">
      <alignment horizontal="center" vertical="center"/>
    </xf>
    <xf numFmtId="0" fontId="48" fillId="9" borderId="12" xfId="0" applyFont="1" applyFill="1" applyBorder="1" applyAlignment="1">
      <alignment horizontal="center" vertical="center"/>
    </xf>
    <xf numFmtId="0" fontId="48" fillId="3" borderId="12" xfId="0" applyFont="1" applyFill="1" applyBorder="1" applyAlignment="1">
      <alignment horizontal="center" vertical="center" wrapText="1"/>
    </xf>
    <xf numFmtId="0" fontId="55" fillId="0" borderId="17" xfId="0" applyFont="1" applyBorder="1" applyAlignment="1">
      <alignment horizontal="center" vertical="center"/>
    </xf>
    <xf numFmtId="2" fontId="57" fillId="3" borderId="6" xfId="3" applyNumberFormat="1" applyFont="1" applyFill="1" applyBorder="1" applyAlignment="1">
      <alignment horizontal="left" vertical="center" wrapText="1"/>
    </xf>
    <xf numFmtId="0" fontId="48" fillId="0" borderId="17" xfId="0" applyFont="1" applyBorder="1" applyAlignment="1">
      <alignment horizontal="center" vertical="center"/>
    </xf>
    <xf numFmtId="0" fontId="48" fillId="3" borderId="0" xfId="0" applyFont="1" applyFill="1" applyAlignment="1">
      <alignment horizontal="center" vertical="center" wrapText="1"/>
    </xf>
    <xf numFmtId="2" fontId="57" fillId="3" borderId="25" xfId="3" applyNumberFormat="1" applyFont="1" applyFill="1" applyBorder="1" applyAlignment="1">
      <alignment horizontal="left" vertical="center" wrapText="1"/>
    </xf>
    <xf numFmtId="0" fontId="55" fillId="0" borderId="18" xfId="0" applyFont="1" applyBorder="1" applyAlignment="1">
      <alignment horizontal="center" vertical="center"/>
    </xf>
    <xf numFmtId="1" fontId="48" fillId="5" borderId="12" xfId="0" applyNumberFormat="1" applyFont="1" applyFill="1" applyBorder="1" applyAlignment="1">
      <alignment horizontal="center" vertical="center" wrapText="1"/>
    </xf>
    <xf numFmtId="1" fontId="48" fillId="9" borderId="12" xfId="0" applyNumberFormat="1" applyFont="1" applyFill="1" applyBorder="1" applyAlignment="1">
      <alignment horizontal="center" vertical="center" wrapText="1"/>
    </xf>
    <xf numFmtId="1" fontId="48" fillId="5" borderId="12" xfId="0" applyNumberFormat="1" applyFont="1" applyFill="1" applyBorder="1" applyAlignment="1">
      <alignment horizontal="center" vertical="center"/>
    </xf>
    <xf numFmtId="1" fontId="48" fillId="9" borderId="12" xfId="0" applyNumberFormat="1" applyFont="1" applyFill="1" applyBorder="1" applyAlignment="1">
      <alignment horizontal="center" vertical="center"/>
    </xf>
    <xf numFmtId="0" fontId="48" fillId="3" borderId="0" xfId="0" applyFont="1" applyFill="1" applyAlignment="1">
      <alignment horizontal="left" vertical="center"/>
    </xf>
    <xf numFmtId="2" fontId="57" fillId="3" borderId="12" xfId="3" applyNumberFormat="1" applyFont="1" applyFill="1" applyBorder="1" applyAlignment="1">
      <alignment horizontal="left" vertical="center" wrapText="1"/>
    </xf>
    <xf numFmtId="0" fontId="18" fillId="3" borderId="12" xfId="0" applyFont="1" applyFill="1" applyBorder="1" applyAlignment="1">
      <alignment horizontal="left" vertical="center" wrapText="1"/>
    </xf>
    <xf numFmtId="0" fontId="18" fillId="3" borderId="12" xfId="0" applyFont="1" applyFill="1" applyBorder="1" applyAlignment="1">
      <alignment horizontal="left" vertical="center"/>
    </xf>
    <xf numFmtId="0" fontId="5" fillId="0" borderId="0" xfId="0" applyFont="1" applyAlignment="1">
      <alignment horizontal="right"/>
    </xf>
    <xf numFmtId="0" fontId="5" fillId="0" borderId="12" xfId="0" applyFont="1" applyBorder="1" applyAlignment="1">
      <alignment horizontal="right" vertical="center"/>
    </xf>
    <xf numFmtId="2" fontId="40" fillId="3" borderId="0" xfId="0" applyNumberFormat="1" applyFont="1" applyFill="1" applyAlignment="1">
      <alignment horizontal="center" vertical="center" wrapText="1"/>
    </xf>
    <xf numFmtId="0" fontId="48" fillId="2" borderId="17" xfId="0" applyFont="1" applyFill="1" applyBorder="1" applyAlignment="1">
      <alignment horizontal="center" vertical="center"/>
    </xf>
    <xf numFmtId="1" fontId="40" fillId="3" borderId="24" xfId="0" applyNumberFormat="1" applyFont="1" applyFill="1" applyBorder="1" applyAlignment="1">
      <alignment horizontal="center" vertical="center" wrapText="1"/>
    </xf>
    <xf numFmtId="0" fontId="48" fillId="11" borderId="12" xfId="0" applyFont="1" applyFill="1" applyBorder="1" applyAlignment="1">
      <alignment horizontal="center" vertical="center" wrapText="1"/>
    </xf>
    <xf numFmtId="0" fontId="48" fillId="11" borderId="12" xfId="0" applyFont="1" applyFill="1" applyBorder="1" applyAlignment="1">
      <alignment horizontal="center" vertical="center"/>
    </xf>
    <xf numFmtId="1" fontId="48" fillId="11" borderId="12" xfId="0" applyNumberFormat="1" applyFont="1" applyFill="1" applyBorder="1" applyAlignment="1">
      <alignment horizontal="center" vertical="center" wrapText="1"/>
    </xf>
    <xf numFmtId="1" fontId="48" fillId="11" borderId="12" xfId="0" applyNumberFormat="1" applyFont="1" applyFill="1" applyBorder="1" applyAlignment="1">
      <alignment horizontal="center" vertical="center"/>
    </xf>
    <xf numFmtId="0" fontId="48" fillId="11" borderId="4" xfId="0" applyFont="1" applyFill="1" applyBorder="1" applyAlignment="1">
      <alignment horizontal="center" vertical="center"/>
    </xf>
    <xf numFmtId="0" fontId="49" fillId="3" borderId="0" xfId="0" applyFont="1" applyFill="1" applyAlignment="1">
      <alignment horizontal="center" vertical="center" wrapText="1"/>
    </xf>
    <xf numFmtId="1" fontId="49" fillId="3" borderId="0" xfId="0" applyNumberFormat="1" applyFont="1" applyFill="1" applyAlignment="1">
      <alignment horizontal="center" vertical="center" wrapText="1"/>
    </xf>
    <xf numFmtId="0" fontId="5" fillId="4" borderId="0" xfId="0" applyFont="1" applyFill="1" applyAlignment="1">
      <alignment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165" fontId="40" fillId="3" borderId="24" xfId="0" applyNumberFormat="1" applyFont="1" applyFill="1" applyBorder="1" applyAlignment="1">
      <alignment horizontal="center" vertical="center" wrapText="1"/>
    </xf>
    <xf numFmtId="0" fontId="7" fillId="0" borderId="0" xfId="0" applyFont="1" applyAlignment="1">
      <alignment horizontal="right" wrapText="1"/>
    </xf>
    <xf numFmtId="0" fontId="7" fillId="0" borderId="0" xfId="0" applyFont="1" applyAlignment="1">
      <alignment horizontal="center" wrapText="1"/>
    </xf>
    <xf numFmtId="0" fontId="4" fillId="0" borderId="0" xfId="1" applyAlignment="1">
      <alignment vertical="center"/>
    </xf>
    <xf numFmtId="0" fontId="54" fillId="10" borderId="12" xfId="0" applyFont="1" applyFill="1" applyBorder="1" applyAlignment="1">
      <alignment horizontal="center" vertical="center" wrapText="1"/>
    </xf>
    <xf numFmtId="0" fontId="24" fillId="0" borderId="12" xfId="0" applyFont="1" applyBorder="1" applyAlignment="1">
      <alignment horizontal="center" vertical="center" wrapText="1"/>
    </xf>
    <xf numFmtId="0" fontId="33" fillId="2" borderId="26" xfId="0" applyFont="1" applyFill="1" applyBorder="1" applyAlignment="1">
      <alignment vertical="center"/>
    </xf>
    <xf numFmtId="0" fontId="33" fillId="2" borderId="5" xfId="0" applyFont="1" applyFill="1" applyBorder="1" applyAlignment="1">
      <alignment vertical="center"/>
    </xf>
    <xf numFmtId="0" fontId="20" fillId="2" borderId="4" xfId="6" applyFont="1" applyFill="1" applyBorder="1" applyAlignment="1">
      <alignment vertical="center"/>
    </xf>
    <xf numFmtId="0" fontId="20" fillId="2" borderId="5" xfId="6" applyFont="1" applyFill="1" applyBorder="1" applyAlignment="1">
      <alignment vertical="center"/>
    </xf>
    <xf numFmtId="0" fontId="33" fillId="2" borderId="20" xfId="0" applyFont="1" applyFill="1" applyBorder="1" applyAlignment="1">
      <alignment vertical="center"/>
    </xf>
    <xf numFmtId="0" fontId="20" fillId="2" borderId="4" xfId="0" applyFont="1" applyFill="1" applyBorder="1" applyAlignment="1">
      <alignment horizontal="left" vertical="center"/>
    </xf>
    <xf numFmtId="0" fontId="20" fillId="2" borderId="5" xfId="0" applyFont="1" applyFill="1" applyBorder="1" applyAlignment="1">
      <alignment horizontal="left" vertical="center"/>
    </xf>
    <xf numFmtId="0" fontId="5" fillId="0" borderId="18" xfId="6" applyFont="1" applyBorder="1" applyAlignment="1">
      <alignment horizontal="center" vertical="center"/>
    </xf>
    <xf numFmtId="0" fontId="26" fillId="2" borderId="27" xfId="0" applyFont="1" applyFill="1" applyBorder="1" applyAlignment="1">
      <alignment vertical="center"/>
    </xf>
    <xf numFmtId="0" fontId="5" fillId="0" borderId="18" xfId="0" applyFont="1" applyBorder="1" applyAlignment="1">
      <alignment horizontal="center" vertical="center"/>
    </xf>
    <xf numFmtId="0" fontId="5" fillId="0" borderId="18" xfId="6" applyFont="1" applyBorder="1" applyAlignment="1">
      <alignment horizontal="left" vertical="center"/>
    </xf>
    <xf numFmtId="0" fontId="18" fillId="0" borderId="14" xfId="6" applyFont="1" applyBorder="1" applyAlignment="1">
      <alignment horizontal="center" vertical="center"/>
    </xf>
    <xf numFmtId="0" fontId="18" fillId="0" borderId="14" xfId="6" applyFont="1" applyBorder="1" applyAlignment="1">
      <alignment horizontal="left" vertical="center"/>
    </xf>
    <xf numFmtId="0" fontId="5" fillId="0" borderId="18" xfId="0" applyFont="1" applyBorder="1" applyAlignment="1">
      <alignment vertical="center" wrapText="1"/>
    </xf>
    <xf numFmtId="2" fontId="6" fillId="0" borderId="18" xfId="0" applyNumberFormat="1" applyFont="1" applyBorder="1" applyAlignment="1">
      <alignment horizontal="center" vertical="center" wrapText="1"/>
    </xf>
    <xf numFmtId="2" fontId="7" fillId="0" borderId="18" xfId="2" applyNumberFormat="1" applyFont="1" applyBorder="1" applyAlignment="1">
      <alignment horizontal="center" vertical="center"/>
    </xf>
    <xf numFmtId="1" fontId="5" fillId="0" borderId="18" xfId="0" applyNumberFormat="1" applyFont="1" applyBorder="1" applyAlignment="1">
      <alignment horizontal="center" vertical="center"/>
    </xf>
    <xf numFmtId="0" fontId="20" fillId="2" borderId="0" xfId="6" applyFont="1" applyFill="1" applyAlignment="1">
      <alignment vertical="center"/>
    </xf>
    <xf numFmtId="1" fontId="48" fillId="3" borderId="0" xfId="0" applyNumberFormat="1" applyFont="1" applyFill="1" applyAlignment="1">
      <alignment horizontal="center" vertical="center"/>
    </xf>
    <xf numFmtId="0" fontId="48" fillId="3" borderId="0" xfId="0" applyFont="1" applyFill="1" applyAlignment="1">
      <alignment horizontal="center" vertical="center"/>
    </xf>
    <xf numFmtId="0" fontId="18" fillId="0" borderId="0" xfId="0" applyFont="1" applyAlignment="1">
      <alignment horizontal="center" vertical="center"/>
    </xf>
    <xf numFmtId="1" fontId="49" fillId="3" borderId="12" xfId="0" applyNumberFormat="1" applyFont="1" applyFill="1" applyBorder="1" applyAlignment="1">
      <alignment horizontal="center" vertical="center" wrapText="1"/>
    </xf>
    <xf numFmtId="0" fontId="48" fillId="11" borderId="14" xfId="0" applyFont="1" applyFill="1" applyBorder="1" applyAlignment="1">
      <alignment horizontal="center" vertical="center" wrapText="1"/>
    </xf>
    <xf numFmtId="0" fontId="48" fillId="3" borderId="14" xfId="0" applyFont="1" applyFill="1" applyBorder="1" applyAlignment="1">
      <alignment horizontal="center" vertical="center" wrapText="1"/>
    </xf>
    <xf numFmtId="0" fontId="48" fillId="11" borderId="18" xfId="0" applyFont="1" applyFill="1" applyBorder="1" applyAlignment="1">
      <alignment horizontal="center" vertical="center" wrapText="1"/>
    </xf>
    <xf numFmtId="0" fontId="48" fillId="3" borderId="18"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5" fillId="3" borderId="0" xfId="0" applyFont="1" applyFill="1" applyAlignment="1">
      <alignment vertical="center" wrapText="1"/>
    </xf>
    <xf numFmtId="0" fontId="5" fillId="3" borderId="0" xfId="0" applyFont="1" applyFill="1" applyAlignment="1">
      <alignment wrapText="1"/>
    </xf>
    <xf numFmtId="2" fontId="5" fillId="0" borderId="0" xfId="0" applyNumberFormat="1" applyFont="1"/>
    <xf numFmtId="1" fontId="5" fillId="0" borderId="12" xfId="13" applyNumberFormat="1" applyFont="1" applyBorder="1" applyAlignment="1">
      <alignment horizontal="center" vertical="center"/>
    </xf>
    <xf numFmtId="1" fontId="5" fillId="7" borderId="12" xfId="38" applyNumberFormat="1" applyFont="1" applyFill="1" applyBorder="1" applyAlignment="1">
      <alignment horizontal="center" vertical="center"/>
    </xf>
    <xf numFmtId="2" fontId="16" fillId="7" borderId="0" xfId="0" applyNumberFormat="1" applyFont="1" applyFill="1" applyAlignment="1">
      <alignment horizontal="left" vertical="center" wrapText="1"/>
    </xf>
    <xf numFmtId="0" fontId="0" fillId="2" borderId="5" xfId="0" applyFill="1" applyBorder="1"/>
    <xf numFmtId="165" fontId="16" fillId="7" borderId="0" xfId="0" applyNumberFormat="1" applyFont="1" applyFill="1" applyAlignment="1">
      <alignment horizontal="left" vertical="center" wrapText="1"/>
    </xf>
    <xf numFmtId="0" fontId="28" fillId="8" borderId="0" xfId="0" applyFont="1" applyFill="1" applyAlignment="1">
      <alignment horizontal="center" vertical="center"/>
    </xf>
    <xf numFmtId="0" fontId="24" fillId="8" borderId="0" xfId="0" applyFont="1" applyFill="1" applyAlignment="1">
      <alignment horizontal="center" vertical="center"/>
    </xf>
    <xf numFmtId="0" fontId="26" fillId="2" borderId="28" xfId="0" applyFont="1" applyFill="1" applyBorder="1" applyAlignment="1">
      <alignment vertical="center"/>
    </xf>
    <xf numFmtId="2" fontId="18" fillId="12" borderId="12" xfId="7" applyNumberFormat="1" applyFont="1" applyFill="1" applyBorder="1" applyAlignment="1">
      <alignment horizontal="center" vertical="center"/>
    </xf>
    <xf numFmtId="1" fontId="18" fillId="12" borderId="12" xfId="7" applyNumberFormat="1" applyFont="1" applyFill="1" applyBorder="1" applyAlignment="1">
      <alignment horizontal="center" vertical="center"/>
    </xf>
    <xf numFmtId="0" fontId="7" fillId="0" borderId="0" xfId="0" applyFont="1" applyAlignment="1">
      <alignment horizontal="center"/>
    </xf>
    <xf numFmtId="165" fontId="28" fillId="2" borderId="5" xfId="0" applyNumberFormat="1" applyFont="1" applyFill="1" applyBorder="1" applyAlignment="1">
      <alignment horizontal="center" vertical="center"/>
    </xf>
    <xf numFmtId="2" fontId="7" fillId="2" borderId="12" xfId="0" applyNumberFormat="1" applyFont="1" applyFill="1" applyBorder="1" applyAlignment="1">
      <alignment horizontal="center" vertical="center" wrapText="1"/>
    </xf>
    <xf numFmtId="0" fontId="5" fillId="0" borderId="14" xfId="0" applyFont="1" applyBorder="1"/>
    <xf numFmtId="0" fontId="28" fillId="2" borderId="5" xfId="0" applyFont="1" applyFill="1" applyBorder="1" applyAlignment="1">
      <alignment horizontal="right" vertical="center"/>
    </xf>
    <xf numFmtId="1" fontId="28" fillId="2" borderId="5" xfId="0" applyNumberFormat="1" applyFont="1" applyFill="1" applyBorder="1" applyAlignment="1">
      <alignment horizontal="center" vertical="center"/>
    </xf>
    <xf numFmtId="0" fontId="18" fillId="7" borderId="12" xfId="31" applyFont="1" applyFill="1" applyBorder="1" applyAlignment="1">
      <alignment horizontal="center" vertical="center"/>
    </xf>
    <xf numFmtId="0" fontId="23" fillId="3" borderId="0" xfId="0" applyFont="1" applyFill="1" applyAlignment="1">
      <alignment horizontal="center" vertical="center" wrapText="1"/>
    </xf>
    <xf numFmtId="166" fontId="18" fillId="6" borderId="12" xfId="145" applyNumberFormat="1" applyFont="1" applyFill="1" applyBorder="1" applyAlignment="1">
      <alignment horizontal="center" vertical="center"/>
    </xf>
    <xf numFmtId="166" fontId="20" fillId="2" borderId="0" xfId="6" applyNumberFormat="1" applyFont="1" applyFill="1" applyAlignment="1">
      <alignment vertical="center"/>
    </xf>
    <xf numFmtId="166" fontId="18" fillId="6" borderId="12" xfId="7" applyNumberFormat="1" applyFont="1" applyFill="1" applyBorder="1" applyAlignment="1">
      <alignment horizontal="center" vertical="center"/>
    </xf>
    <xf numFmtId="166" fontId="18" fillId="6" borderId="18" xfId="7" applyNumberFormat="1" applyFont="1" applyFill="1" applyBorder="1" applyAlignment="1">
      <alignment horizontal="center" vertical="center"/>
    </xf>
    <xf numFmtId="166" fontId="18" fillId="6" borderId="14" xfId="7" applyNumberFormat="1" applyFont="1" applyFill="1" applyBorder="1" applyAlignment="1">
      <alignment horizontal="center" vertical="center"/>
    </xf>
    <xf numFmtId="166" fontId="20" fillId="2" borderId="5" xfId="0" applyNumberFormat="1" applyFont="1" applyFill="1" applyBorder="1" applyAlignment="1">
      <alignment vertical="center"/>
    </xf>
    <xf numFmtId="166" fontId="18" fillId="6" borderId="12" xfId="31" applyNumberFormat="1" applyFont="1" applyFill="1" applyBorder="1" applyAlignment="1">
      <alignment horizontal="center" vertical="center"/>
    </xf>
    <xf numFmtId="166" fontId="18" fillId="6" borderId="18" xfId="31" applyNumberFormat="1" applyFont="1" applyFill="1" applyBorder="1" applyAlignment="1">
      <alignment horizontal="center" vertical="center"/>
    </xf>
    <xf numFmtId="166" fontId="18" fillId="6" borderId="12" xfId="16" applyNumberFormat="1" applyFont="1" applyFill="1" applyBorder="1" applyAlignment="1">
      <alignment horizontal="center" vertical="center"/>
    </xf>
    <xf numFmtId="166" fontId="39" fillId="6" borderId="12" xfId="0" applyNumberFormat="1" applyFont="1" applyFill="1" applyBorder="1" applyAlignment="1">
      <alignment horizontal="center" vertical="center" wrapText="1"/>
    </xf>
    <xf numFmtId="2" fontId="5" fillId="6" borderId="12" xfId="0" applyNumberFormat="1" applyFont="1" applyFill="1" applyBorder="1" applyAlignment="1">
      <alignment horizontal="center" vertical="center" wrapText="1"/>
    </xf>
    <xf numFmtId="0" fontId="19" fillId="2" borderId="10" xfId="0" applyFont="1" applyFill="1" applyBorder="1" applyAlignment="1">
      <alignment vertical="center"/>
    </xf>
    <xf numFmtId="2" fontId="5" fillId="6" borderId="12" xfId="0" applyNumberFormat="1" applyFont="1" applyFill="1" applyBorder="1" applyAlignment="1">
      <alignment horizontal="center" vertical="center"/>
    </xf>
    <xf numFmtId="0" fontId="60" fillId="0" borderId="0" xfId="0" applyFont="1" applyAlignment="1">
      <alignment horizontal="center" vertical="center" wrapText="1"/>
    </xf>
    <xf numFmtId="0" fontId="60" fillId="3" borderId="0" xfId="0" applyFont="1" applyFill="1" applyAlignment="1">
      <alignment horizontal="center" vertical="center" wrapText="1"/>
    </xf>
    <xf numFmtId="0" fontId="43" fillId="3" borderId="0" xfId="0" applyFont="1" applyFill="1" applyAlignment="1">
      <alignment horizontal="center" vertical="center" wrapText="1"/>
    </xf>
    <xf numFmtId="0" fontId="44" fillId="3" borderId="0" xfId="0" applyFont="1" applyFill="1"/>
    <xf numFmtId="0" fontId="19" fillId="2" borderId="5" xfId="0" applyFont="1" applyFill="1" applyBorder="1" applyAlignment="1">
      <alignment vertical="center"/>
    </xf>
    <xf numFmtId="0" fontId="20" fillId="2" borderId="9" xfId="0" applyFont="1" applyFill="1" applyBorder="1" applyAlignment="1">
      <alignment vertical="center"/>
    </xf>
    <xf numFmtId="0" fontId="33" fillId="2" borderId="10" xfId="0" applyFont="1" applyFill="1" applyBorder="1" applyAlignment="1">
      <alignment vertical="center"/>
    </xf>
    <xf numFmtId="0" fontId="5" fillId="0" borderId="12" xfId="0" applyFont="1" applyBorder="1" applyAlignment="1">
      <alignment horizontal="left" vertical="center"/>
    </xf>
    <xf numFmtId="0" fontId="5" fillId="0" borderId="0" xfId="38" applyFont="1" applyAlignment="1">
      <alignment vertical="center"/>
    </xf>
    <xf numFmtId="0" fontId="5" fillId="0" borderId="12" xfId="2" applyNumberFormat="1" applyFont="1" applyFill="1" applyBorder="1" applyAlignment="1">
      <alignment horizontal="center" vertical="center"/>
    </xf>
    <xf numFmtId="0" fontId="5" fillId="3" borderId="12" xfId="38" applyFont="1" applyFill="1" applyBorder="1" applyAlignment="1">
      <alignment horizontal="center" vertical="center"/>
    </xf>
    <xf numFmtId="0" fontId="19" fillId="2" borderId="5" xfId="0" applyFont="1" applyFill="1" applyBorder="1" applyAlignment="1">
      <alignment horizontal="left" vertical="center"/>
    </xf>
    <xf numFmtId="0" fontId="19" fillId="2" borderId="5" xfId="6" applyFont="1" applyFill="1" applyBorder="1" applyAlignment="1">
      <alignment vertical="center"/>
    </xf>
    <xf numFmtId="2" fontId="5" fillId="0" borderId="12" xfId="2" applyNumberFormat="1" applyFont="1" applyBorder="1" applyAlignment="1">
      <alignment horizontal="center" vertical="center"/>
    </xf>
    <xf numFmtId="0" fontId="0" fillId="2" borderId="29" xfId="0" applyFill="1" applyBorder="1" applyAlignment="1">
      <alignment vertical="center"/>
    </xf>
    <xf numFmtId="0" fontId="21" fillId="2" borderId="13" xfId="0" applyFont="1" applyFill="1" applyBorder="1" applyAlignment="1">
      <alignment horizontal="left" vertical="center"/>
    </xf>
    <xf numFmtId="0" fontId="5" fillId="2" borderId="6" xfId="0" applyFont="1" applyFill="1" applyBorder="1"/>
    <xf numFmtId="0" fontId="61" fillId="2" borderId="6" xfId="0" applyFont="1" applyFill="1" applyBorder="1" applyAlignment="1">
      <alignment vertical="center"/>
    </xf>
    <xf numFmtId="2" fontId="39" fillId="0" borderId="12" xfId="0"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vertical="center"/>
    </xf>
    <xf numFmtId="0" fontId="48" fillId="11" borderId="5" xfId="0" applyFont="1" applyFill="1" applyBorder="1" applyAlignment="1">
      <alignment horizontal="center" vertical="center"/>
    </xf>
    <xf numFmtId="0" fontId="48" fillId="11" borderId="6" xfId="0" applyFont="1" applyFill="1" applyBorder="1" applyAlignment="1">
      <alignment horizontal="center" vertical="center"/>
    </xf>
    <xf numFmtId="0" fontId="48" fillId="2" borderId="4" xfId="0" applyFon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48" fillId="5" borderId="4" xfId="0" applyFont="1" applyFill="1" applyBorder="1" applyAlignment="1">
      <alignment horizontal="center" vertical="center"/>
    </xf>
    <xf numFmtId="0" fontId="55" fillId="5" borderId="5" xfId="0" applyFont="1" applyFill="1" applyBorder="1" applyAlignment="1">
      <alignment horizontal="center" vertical="center"/>
    </xf>
    <xf numFmtId="0" fontId="56" fillId="0" borderId="5" xfId="0" applyFont="1" applyBorder="1"/>
    <xf numFmtId="0" fontId="56" fillId="0" borderId="6" xfId="0" applyFont="1" applyBorder="1"/>
    <xf numFmtId="0" fontId="48" fillId="9"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7" fillId="0" borderId="0" xfId="0" applyFont="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0" fillId="0" borderId="5" xfId="0" applyBorder="1" applyAlignment="1">
      <alignment vertical="center" wrapText="1"/>
    </xf>
    <xf numFmtId="0" fontId="5" fillId="3" borderId="0" xfId="0" applyFont="1" applyFill="1"/>
    <xf numFmtId="0" fontId="0" fillId="3" borderId="0" xfId="0" applyFill="1"/>
    <xf numFmtId="0" fontId="7" fillId="0" borderId="12" xfId="0" applyFont="1" applyBorder="1" applyAlignment="1">
      <alignment horizontal="center" vertical="center" wrapText="1"/>
    </xf>
    <xf numFmtId="0" fontId="0" fillId="0" borderId="12" xfId="0" applyBorder="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wrapText="1"/>
    </xf>
    <xf numFmtId="0" fontId="4" fillId="0" borderId="0" xfId="1" applyAlignment="1">
      <alignment vertical="center"/>
    </xf>
    <xf numFmtId="0" fontId="20" fillId="2" borderId="4" xfId="6" applyFont="1" applyFill="1" applyBorder="1" applyAlignment="1">
      <alignment vertical="center"/>
    </xf>
    <xf numFmtId="0" fontId="0" fillId="0" borderId="5" xfId="0" applyBorder="1" applyAlignment="1">
      <alignment vertical="center"/>
    </xf>
    <xf numFmtId="0" fontId="20" fillId="2" borderId="4" xfId="0" applyFont="1" applyFill="1" applyBorder="1" applyAlignment="1">
      <alignment vertical="center"/>
    </xf>
    <xf numFmtId="0" fontId="5" fillId="0" borderId="0" xfId="0" applyFont="1" applyAlignment="1">
      <alignment vertical="center" wrapText="1"/>
    </xf>
    <xf numFmtId="0" fontId="13" fillId="0" borderId="0" xfId="0" applyFont="1" applyAlignment="1">
      <alignment horizontal="center" vertical="center" wrapText="1"/>
    </xf>
    <xf numFmtId="0" fontId="5" fillId="0" borderId="0" xfId="0" applyFont="1" applyAlignment="1">
      <alignment horizontal="left" vertical="center" wrapText="1"/>
    </xf>
    <xf numFmtId="0" fontId="6" fillId="0" borderId="12" xfId="0" applyFont="1" applyBorder="1" applyAlignment="1">
      <alignment horizontal="center" vertical="center" wrapText="1"/>
    </xf>
    <xf numFmtId="0" fontId="20" fillId="0" borderId="0" xfId="0" applyFont="1" applyAlignment="1">
      <alignment vertical="center"/>
    </xf>
    <xf numFmtId="0" fontId="0" fillId="0" borderId="0" xfId="0"/>
    <xf numFmtId="0" fontId="29" fillId="0" borderId="10" xfId="0" applyFont="1" applyBorder="1" applyAlignment="1">
      <alignment horizontal="center" vertical="center" wrapText="1"/>
    </xf>
    <xf numFmtId="0" fontId="30" fillId="0" borderId="10" xfId="0" applyFont="1" applyBorder="1" applyAlignment="1">
      <alignment horizontal="center" wrapText="1"/>
    </xf>
    <xf numFmtId="0" fontId="28" fillId="8" borderId="15" xfId="0" applyFont="1" applyFill="1" applyBorder="1" applyAlignment="1">
      <alignment horizontal="center" vertical="center"/>
    </xf>
    <xf numFmtId="0" fontId="24" fillId="8" borderId="21" xfId="0" applyFont="1" applyFill="1" applyBorder="1" applyAlignment="1">
      <alignment horizontal="center" vertical="center"/>
    </xf>
    <xf numFmtId="0" fontId="0" fillId="0" borderId="0" xfId="0" applyAlignment="1">
      <alignment wrapText="1"/>
    </xf>
    <xf numFmtId="0" fontId="6" fillId="0" borderId="2" xfId="0" applyFont="1" applyBorder="1" applyAlignment="1">
      <alignment vertical="center" wrapText="1"/>
    </xf>
    <xf numFmtId="0" fontId="28" fillId="0" borderId="0" xfId="0" applyFont="1" applyAlignment="1">
      <alignment vertical="center" wrapText="1"/>
    </xf>
    <xf numFmtId="0" fontId="0" fillId="0" borderId="0" xfId="0" applyAlignment="1">
      <alignment vertical="center" wrapText="1"/>
    </xf>
    <xf numFmtId="0" fontId="10" fillId="0" borderId="0" xfId="1" applyFont="1" applyAlignment="1">
      <alignment horizontal="left" vertical="center"/>
    </xf>
    <xf numFmtId="0" fontId="7" fillId="0" borderId="0" xfId="0" applyFont="1" applyAlignment="1">
      <alignment vertical="center"/>
    </xf>
    <xf numFmtId="0" fontId="23" fillId="0" borderId="0" xfId="1" applyFont="1" applyAlignment="1">
      <alignment vertical="center"/>
    </xf>
    <xf numFmtId="0" fontId="38" fillId="0" borderId="0" xfId="0" applyFont="1"/>
    <xf numFmtId="0" fontId="27" fillId="0" borderId="12" xfId="0" applyFont="1" applyBorder="1" applyAlignment="1">
      <alignment horizontal="center" vertical="center" wrapText="1"/>
    </xf>
    <xf numFmtId="0" fontId="7" fillId="3" borderId="0" xfId="0" applyFont="1" applyFill="1" applyAlignment="1">
      <alignment horizontal="center" vertical="center"/>
    </xf>
    <xf numFmtId="0" fontId="24" fillId="3" borderId="0" xfId="0" applyFont="1" applyFill="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28" fillId="7" borderId="15" xfId="0" applyFont="1" applyFill="1" applyBorder="1" applyAlignment="1">
      <alignment horizontal="center" vertical="center"/>
    </xf>
    <xf numFmtId="0" fontId="24" fillId="7" borderId="21" xfId="0" applyFont="1" applyFill="1" applyBorder="1" applyAlignment="1">
      <alignment horizontal="center" vertical="center"/>
    </xf>
    <xf numFmtId="0" fontId="24" fillId="7" borderId="16" xfId="0" applyFont="1" applyFill="1" applyBorder="1" applyAlignment="1">
      <alignment horizontal="center" vertical="center"/>
    </xf>
    <xf numFmtId="0" fontId="7" fillId="0" borderId="5"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10" fillId="0" borderId="0" xfId="1" applyFont="1" applyAlignment="1">
      <alignment horizontal="left" vertical="top"/>
    </xf>
    <xf numFmtId="0" fontId="24" fillId="8" borderId="16" xfId="0" applyFont="1" applyFill="1" applyBorder="1" applyAlignment="1">
      <alignment horizontal="center" vertical="center"/>
    </xf>
    <xf numFmtId="0" fontId="5" fillId="0" borderId="0" xfId="0" applyFont="1"/>
    <xf numFmtId="0" fontId="51" fillId="0" borderId="10" xfId="0" applyFont="1" applyBorder="1" applyAlignment="1">
      <alignment horizontal="center" vertical="center"/>
    </xf>
    <xf numFmtId="0" fontId="52" fillId="0" borderId="10" xfId="0" applyFont="1" applyBorder="1" applyAlignment="1">
      <alignment horizontal="center" vertical="center"/>
    </xf>
    <xf numFmtId="0" fontId="20" fillId="2" borderId="5" xfId="0" applyFont="1" applyFill="1" applyBorder="1" applyAlignment="1">
      <alignment vertical="center"/>
    </xf>
    <xf numFmtId="0" fontId="6" fillId="0" borderId="7" xfId="0" applyFont="1" applyBorder="1" applyAlignment="1">
      <alignment vertical="center" wrapText="1"/>
    </xf>
    <xf numFmtId="0" fontId="28" fillId="2" borderId="4" xfId="0" applyFont="1" applyFill="1" applyBorder="1" applyAlignment="1">
      <alignment horizontal="center" vertical="center"/>
    </xf>
    <xf numFmtId="0" fontId="33" fillId="2" borderId="5" xfId="0" applyFont="1" applyFill="1" applyBorder="1" applyAlignment="1">
      <alignment vertical="center"/>
    </xf>
    <xf numFmtId="0" fontId="5" fillId="0" borderId="5" xfId="0" applyFont="1" applyBorder="1" applyAlignment="1">
      <alignment vertical="center" wrapText="1"/>
    </xf>
    <xf numFmtId="0" fontId="28" fillId="7" borderId="4" xfId="0" applyFont="1" applyFill="1" applyBorder="1" applyAlignment="1">
      <alignment horizontal="center" vertical="center"/>
    </xf>
    <xf numFmtId="0" fontId="24" fillId="7" borderId="5" xfId="0" applyFont="1" applyFill="1" applyBorder="1" applyAlignment="1">
      <alignment horizontal="center" vertical="center"/>
    </xf>
    <xf numFmtId="0" fontId="24" fillId="7" borderId="6" xfId="0" applyFont="1" applyFill="1" applyBorder="1" applyAlignment="1">
      <alignment horizontal="center" vertical="center"/>
    </xf>
    <xf numFmtId="0" fontId="19" fillId="0" borderId="5" xfId="0" applyFont="1" applyBorder="1" applyAlignment="1">
      <alignment vertical="center"/>
    </xf>
    <xf numFmtId="0" fontId="7" fillId="0" borderId="0" xfId="0" applyFont="1" applyAlignment="1">
      <alignment horizontal="left" vertical="center" wrapText="1"/>
    </xf>
  </cellXfs>
  <cellStyles count="227">
    <cellStyle name="Currency" xfId="2" builtinId="4"/>
    <cellStyle name="Explanatory Text" xfId="31" builtinId="53"/>
    <cellStyle name="Hyperlink" xfId="1" builtinId="8"/>
    <cellStyle name="Normal" xfId="0" builtinId="0"/>
    <cellStyle name="Normal 10" xfId="213" xr:uid="{380706B5-2D92-454A-B2DF-0415EC2243E4}"/>
    <cellStyle name="Normal 11" xfId="13" xr:uid="{00000000-0005-0000-0000-000004000000}"/>
    <cellStyle name="Normal 11 2" xfId="35" xr:uid="{04E4B8FC-2273-4DA0-A642-A3CA2FC9127A}"/>
    <cellStyle name="Normal 11 3" xfId="211" xr:uid="{D27A56F8-2A30-432C-AA26-99C69321FABA}"/>
    <cellStyle name="Normal 13" xfId="15" xr:uid="{00000000-0005-0000-0000-000005000000}"/>
    <cellStyle name="Normal 13 2" xfId="34" xr:uid="{46649800-D07C-4A57-87A8-86E8540E45EC}"/>
    <cellStyle name="Normal 13 3" xfId="216" xr:uid="{EC36800E-1123-4A2A-8D3F-DA7632ADCCE7}"/>
    <cellStyle name="Normal 14" xfId="17" xr:uid="{00000000-0005-0000-0000-000006000000}"/>
    <cellStyle name="Normal 14 2" xfId="217" xr:uid="{25CA3481-A0BC-4CDA-9878-25E6377EA27D}"/>
    <cellStyle name="Normal 15" xfId="18" xr:uid="{00000000-0005-0000-0000-000007000000}"/>
    <cellStyle name="Normal 15 2" xfId="214" xr:uid="{1532AF34-A7AD-4391-9BBD-551DCB2E4504}"/>
    <cellStyle name="Normal 16" xfId="19" xr:uid="{00000000-0005-0000-0000-000008000000}"/>
    <cellStyle name="Normal 16 2" xfId="37" xr:uid="{C3F5F975-0DF9-4A5A-A4B0-BFA4AA6F62A3}"/>
    <cellStyle name="Normal 16 3" xfId="218" xr:uid="{6925D884-BF36-45E3-A976-7EF33D91820C}"/>
    <cellStyle name="Normal 17" xfId="22" xr:uid="{00000000-0005-0000-0000-000009000000}"/>
    <cellStyle name="Normal 17 2" xfId="219" xr:uid="{26ADE01A-4C8E-4152-B6F5-EF0B28F29FD5}"/>
    <cellStyle name="Normal 18" xfId="24" xr:uid="{00000000-0005-0000-0000-00000A000000}"/>
    <cellStyle name="Normal 18 2" xfId="220" xr:uid="{5F5ABCA3-36ED-4EDE-B6A0-193C49F99B8F}"/>
    <cellStyle name="Normal 19" xfId="23" xr:uid="{00000000-0005-0000-0000-00000B000000}"/>
    <cellStyle name="Normal 19 2" xfId="215" xr:uid="{33FC34AF-D260-4BE7-A5B7-929E4E88F015}"/>
    <cellStyle name="Normal 2" xfId="3" xr:uid="{00000000-0005-0000-0000-00000C000000}"/>
    <cellStyle name="Normal 2 2" xfId="33" xr:uid="{11722841-8D9E-4776-8FB3-1840E863E699}"/>
    <cellStyle name="Normal 2 3" xfId="39" xr:uid="{F63ECCA0-5212-45AF-9191-35140CD7567C}"/>
    <cellStyle name="Normal 20" xfId="26" xr:uid="{00000000-0005-0000-0000-00000D000000}"/>
    <cellStyle name="Normal 20 2" xfId="221" xr:uid="{A3603810-BD37-4233-8D13-67A959D43B3E}"/>
    <cellStyle name="Normal 21" xfId="30" xr:uid="{00000000-0005-0000-0000-00000E000000}"/>
    <cellStyle name="Normal 21 2" xfId="222" xr:uid="{C3397E87-C29A-450D-9830-8783185C894F}"/>
    <cellStyle name="Normal 22" xfId="223" xr:uid="{FD34A060-9AD4-4547-A373-789E204B165C}"/>
    <cellStyle name="Normal 23" xfId="224" xr:uid="{C6EA2E95-375D-4B1F-A014-55E6A019B0F4}"/>
    <cellStyle name="Normal 3" xfId="225" xr:uid="{E9174AE6-5DE8-4446-8C88-F3176D622AD0}"/>
    <cellStyle name="Normal 6" xfId="5" xr:uid="{00000000-0005-0000-0000-00000F000000}"/>
    <cellStyle name="Normal 6 2" xfId="32" xr:uid="{392740A6-1B04-4E44-A871-2EFBB77F609A}"/>
    <cellStyle name="Normal 6 3" xfId="208" xr:uid="{5B639A89-8F52-4A94-B48D-0D845D5A561D}"/>
    <cellStyle name="Normal 7" xfId="8" xr:uid="{00000000-0005-0000-0000-000010000000}"/>
    <cellStyle name="Normal 7 2" xfId="36" xr:uid="{F443C66D-5338-478A-A6AF-FF74C498AA66}"/>
    <cellStyle name="Normal 7 3" xfId="210" xr:uid="{FE2B7344-AE8D-4732-8B70-F05210A629D1}"/>
    <cellStyle name="Normal 8" xfId="6" xr:uid="{00000000-0005-0000-0000-000011000000}"/>
    <cellStyle name="Normal 8 2" xfId="209" xr:uid="{0AC4D386-E9F6-4358-BD42-719EC4FF5A41}"/>
    <cellStyle name="Normal 9" xfId="10" xr:uid="{00000000-0005-0000-0000-000012000000}"/>
    <cellStyle name="Normal 9 2" xfId="38" xr:uid="{F198FDFB-08BC-489F-83C2-D5F6A66A9F41}"/>
    <cellStyle name="Normal 9 3" xfId="212" xr:uid="{E2FB737E-E0F9-4EEC-81C6-41E777187CFC}"/>
    <cellStyle name="Standaard 10" xfId="46" xr:uid="{34E58E58-D3CB-4CCB-B56A-EA3C9997A9B4}"/>
    <cellStyle name="Standaard 10 2" xfId="4" xr:uid="{00000000-0005-0000-0000-000013000000}"/>
    <cellStyle name="Standaard 10 3" xfId="157" xr:uid="{99022DBF-2207-4E52-BBFD-4C47BF19EAA2}"/>
    <cellStyle name="Standaard 11" xfId="47" xr:uid="{B831E328-BAC7-4E0B-9B74-89C45AA2FACF}"/>
    <cellStyle name="Standaard 11 2" xfId="106" xr:uid="{AC9967EA-C2B2-4C10-A3C5-E88BAE107CF6}"/>
    <cellStyle name="Standaard 11 3" xfId="158" xr:uid="{564EEB12-D094-4892-89E7-3957AA3E2D73}"/>
    <cellStyle name="Standaard 12" xfId="48" xr:uid="{C102BB39-AD99-44D8-9981-35ADC3E612BF}"/>
    <cellStyle name="Standaard 12 2" xfId="107" xr:uid="{4C71CA9B-8329-4101-93C4-2E998D02259A}"/>
    <cellStyle name="Standaard 12 3" xfId="159" xr:uid="{CD0FE81E-6FFF-42BF-AB10-9B690BA632E0}"/>
    <cellStyle name="Standaard 13" xfId="49" xr:uid="{42229EEC-FD14-4D5D-B887-E09F951BB2EE}"/>
    <cellStyle name="Standaard 13 2" xfId="108" xr:uid="{6775C598-6922-4824-8E59-CBA4A462D293}"/>
    <cellStyle name="Standaard 13 3" xfId="160" xr:uid="{B1A8B6FF-2E03-46D5-8490-E6384B7E0FEB}"/>
    <cellStyle name="Standaard 14" xfId="50" xr:uid="{098779FF-5ED1-46DB-9227-30EF1B921694}"/>
    <cellStyle name="Standaard 14 2" xfId="109" xr:uid="{56B6B80D-B52D-4700-95EB-9B9257E97A27}"/>
    <cellStyle name="Standaard 14 3" xfId="161" xr:uid="{79033B19-719C-4A29-9F22-04083E53B656}"/>
    <cellStyle name="Standaard 15" xfId="51" xr:uid="{902A7539-5497-4D5B-B1D9-B9470882A9BE}"/>
    <cellStyle name="Standaard 15 2" xfId="110" xr:uid="{6D530973-1362-47D2-9521-795F10A50E17}"/>
    <cellStyle name="Standaard 15 3" xfId="162" xr:uid="{A8DEA52A-886C-41D2-A31C-9661A6FEA371}"/>
    <cellStyle name="Standaard 16" xfId="52" xr:uid="{BF1A3B45-A7DA-4DE8-A82C-3DAD0A0836E6}"/>
    <cellStyle name="Standaard 16 2" xfId="12" xr:uid="{00000000-0005-0000-0000-000014000000}"/>
    <cellStyle name="Standaard 16 3" xfId="163" xr:uid="{2CAC9B4D-43CD-41C5-B158-AAFE80046761}"/>
    <cellStyle name="Standaard 17" xfId="53" xr:uid="{C3AF15EA-ABF9-4431-A91D-E3BFD7E97618}"/>
    <cellStyle name="Standaard 17 2" xfId="20" xr:uid="{00000000-0005-0000-0000-000015000000}"/>
    <cellStyle name="Standaard 17 3" xfId="164" xr:uid="{3B39D3B4-E569-4B1E-8711-5C6B4B523340}"/>
    <cellStyle name="Standaard 18" xfId="54" xr:uid="{9B4B83C4-304C-4D45-8470-80E941A8E387}"/>
    <cellStyle name="Standaard 18 2" xfId="21" xr:uid="{00000000-0005-0000-0000-000016000000}"/>
    <cellStyle name="Standaard 18 3" xfId="165" xr:uid="{82CE8B69-F71F-44FD-9C7D-35C0D2548E89}"/>
    <cellStyle name="Standaard 19" xfId="55" xr:uid="{D23566A4-D66C-4757-BC12-2B8523E043C8}"/>
    <cellStyle name="Standaard 19 2" xfId="9" xr:uid="{00000000-0005-0000-0000-000017000000}"/>
    <cellStyle name="Standaard 19 3" xfId="166" xr:uid="{AECA32DF-C862-48A5-8524-A382E441B49E}"/>
    <cellStyle name="Standaard 2" xfId="40" xr:uid="{F9BDE8D2-BBDC-42ED-9758-D69F419046A4}"/>
    <cellStyle name="Standaard 20" xfId="56" xr:uid="{8FA8AE8A-B509-40F0-A4F6-3278F0444982}"/>
    <cellStyle name="Standaard 20 2" xfId="11" xr:uid="{00000000-0005-0000-0000-000018000000}"/>
    <cellStyle name="Standaard 20 3" xfId="167" xr:uid="{E2F535F6-0DAC-4D7C-A20A-D4CDA10BF6EA}"/>
    <cellStyle name="Standaard 22" xfId="57" xr:uid="{B345E45B-FEA0-416C-A460-56F1924A51AD}"/>
    <cellStyle name="Standaard 22 2" xfId="14" xr:uid="{00000000-0005-0000-0000-000019000000}"/>
    <cellStyle name="Standaard 22 3" xfId="168" xr:uid="{4F298A2D-64DE-4ABF-A66C-58277C3B166E}"/>
    <cellStyle name="Standaard 23" xfId="58" xr:uid="{91486130-FE26-41F4-B553-1493D5760DA6}"/>
    <cellStyle name="Standaard 23 2" xfId="16" xr:uid="{00000000-0005-0000-0000-00001A000000}"/>
    <cellStyle name="Standaard 23 3" xfId="169" xr:uid="{1278288D-E8EA-45ED-B4AC-E03DBA5EA5C2}"/>
    <cellStyle name="Standaard 24" xfId="59" xr:uid="{05F3C380-1E35-4FEB-BC9E-EB1AB05B3F58}"/>
    <cellStyle name="Standaard 24 2" xfId="111" xr:uid="{1BC5C724-F057-431D-A02A-3FFF1C03D69E}"/>
    <cellStyle name="Standaard 24 3" xfId="170" xr:uid="{BE62F728-F9F0-405E-9AE9-40049F05D35E}"/>
    <cellStyle name="Standaard 25" xfId="60" xr:uid="{8B8A8DFD-8389-4A18-B89E-2FA6BEBC5E67}"/>
    <cellStyle name="Standaard 25 2" xfId="112" xr:uid="{05668823-C9E8-4095-8A70-EFA992773019}"/>
    <cellStyle name="Standaard 25 3" xfId="171" xr:uid="{C608BFED-5CCC-4351-93D8-091F87D93732}"/>
    <cellStyle name="Standaard 26" xfId="61" xr:uid="{751DD83D-25A0-4426-A8D7-F001A58D8117}"/>
    <cellStyle name="Standaard 26 2" xfId="113" xr:uid="{471CD9B7-DEE8-47F7-B007-61B26130236F}"/>
    <cellStyle name="Standaard 26 3" xfId="172" xr:uid="{0A8F007A-D834-4470-B9D7-2982CB48D45F}"/>
    <cellStyle name="Standaard 27" xfId="62" xr:uid="{1E555EAC-F25A-4411-A150-88CA7F141600}"/>
    <cellStyle name="Standaard 27 2" xfId="29" xr:uid="{00000000-0005-0000-0000-00001B000000}"/>
    <cellStyle name="Standaard 27 3" xfId="151" xr:uid="{2E55B134-4BB0-42A6-A1DB-F11FF1A2C5E0}"/>
    <cellStyle name="Standaard 28" xfId="63" xr:uid="{1B1C7B91-8586-4F68-8697-C0E9243889A2}"/>
    <cellStyle name="Standaard 28 2" xfId="114" xr:uid="{5BAF79DB-AB57-4290-92C2-52A918C36FCA}"/>
    <cellStyle name="Standaard 28 3" xfId="173" xr:uid="{0FCE7E8A-11EF-4DB2-ABC1-1466290C4F1E}"/>
    <cellStyle name="Standaard 29" xfId="64" xr:uid="{E55848A7-F4A4-490B-97AB-EAF42A346C8E}"/>
    <cellStyle name="Standaard 29 2" xfId="115" xr:uid="{8D506AFC-23B4-4A4E-93E5-E49A19F12790}"/>
    <cellStyle name="Standaard 29 3" xfId="174" xr:uid="{37732B1A-C56A-4388-A7D9-7711626A028D}"/>
    <cellStyle name="Standaard 3" xfId="41" xr:uid="{B6C81EB3-0C92-44A7-B3DE-96592C5D4472}"/>
    <cellStyle name="Standaard 3 2" xfId="103" xr:uid="{32F5C9B0-69BB-43B9-B699-66CFC676F0FE}"/>
    <cellStyle name="Standaard 3 3" xfId="152" xr:uid="{AB8EBC50-8F3A-4666-821B-D3B5242ADCF9}"/>
    <cellStyle name="Standaard 30" xfId="65" xr:uid="{DDC68E73-0D0F-4F3E-8C56-86B1CA012840}"/>
    <cellStyle name="Standaard 30 2" xfId="116" xr:uid="{BFBBD029-A021-43A5-809A-F455FD7AD34E}"/>
    <cellStyle name="Standaard 30 3" xfId="175" xr:uid="{2B1D4E49-A842-4CC9-A395-DE9E738ADDCD}"/>
    <cellStyle name="Standaard 31" xfId="66" xr:uid="{E2309895-5A56-4961-B767-9066CB36301B}"/>
    <cellStyle name="Standaard 31 2" xfId="117" xr:uid="{B5F96071-BB86-44D1-A09B-7A21A33A4125}"/>
    <cellStyle name="Standaard 31 3" xfId="176" xr:uid="{2B9013C6-C3E4-4A9F-85C5-AC7653FED725}"/>
    <cellStyle name="Standaard 32" xfId="67" xr:uid="{54CDEFC7-59A0-466E-9A7B-378546D647B2}"/>
    <cellStyle name="Standaard 32 2" xfId="118" xr:uid="{8CD2784A-7C19-413D-AC71-33CAD2B04B4E}"/>
    <cellStyle name="Standaard 32 3" xfId="177" xr:uid="{4621773D-2C14-4057-AD2E-63E4E0B0F003}"/>
    <cellStyle name="Standaard 34" xfId="68" xr:uid="{1B7F7578-C381-4A73-BF00-0C93F2E5C45C}"/>
    <cellStyle name="Standaard 34 2" xfId="119" xr:uid="{BD17192F-479D-4F79-9EE1-43368E6124AC}"/>
    <cellStyle name="Standaard 34 3" xfId="178" xr:uid="{304DDE4F-805C-452A-B66C-65C984E4E927}"/>
    <cellStyle name="Standaard 35" xfId="69" xr:uid="{B8AD5F4F-5565-43E6-A1D7-E5BFAD644B23}"/>
    <cellStyle name="Standaard 35 2" xfId="120" xr:uid="{6F862A26-9751-41C0-B7BA-600A9DBA3B99}"/>
    <cellStyle name="Standaard 35 3" xfId="179" xr:uid="{4E532F5C-EDFA-40B3-82CD-E4CDFF188585}"/>
    <cellStyle name="Standaard 36" xfId="70" xr:uid="{436E147B-C7A0-4875-BBB2-0F6FC7871694}"/>
    <cellStyle name="Standaard 36 2" xfId="121" xr:uid="{ABA84B24-0F28-4915-B7FA-9E07241FAF1F}"/>
    <cellStyle name="Standaard 36 3" xfId="180" xr:uid="{5916E393-BF7F-47ED-95A3-EA169CB40EB2}"/>
    <cellStyle name="Standaard 37" xfId="71" xr:uid="{0064EAC4-87EA-42FC-B1D6-89FD2B065B47}"/>
    <cellStyle name="Standaard 37 2" xfId="122" xr:uid="{B61F2BD3-302F-4C0E-9106-C2CECBE1493F}"/>
    <cellStyle name="Standaard 37 3" xfId="181" xr:uid="{720D6A54-1CEB-44AB-BB94-81637EA7E576}"/>
    <cellStyle name="Standaard 39" xfId="72" xr:uid="{A4A86251-EC54-4CBF-BF7F-D13DC78F1822}"/>
    <cellStyle name="Standaard 39 2" xfId="123" xr:uid="{DBBC7106-8BD0-40F4-AF9C-4C75FBFAB7D4}"/>
    <cellStyle name="Standaard 39 3" xfId="182" xr:uid="{616D87E3-8B29-4208-B1F3-94EE000AA91B}"/>
    <cellStyle name="Standaard 4" xfId="42" xr:uid="{22DB808B-3828-4DF0-8ABF-00FE4818C278}"/>
    <cellStyle name="Standaard 4 2" xfId="7" xr:uid="{00000000-0005-0000-0000-00001C000000}"/>
    <cellStyle name="Standaard 4 3" xfId="153" xr:uid="{C139CAAB-03C9-453C-ABD0-7A6297B43129}"/>
    <cellStyle name="Standaard 40" xfId="73" xr:uid="{C5CE510F-5AD7-4500-B6BF-9B2C86325BF8}"/>
    <cellStyle name="Standaard 40 2" xfId="124" xr:uid="{50BF4AB6-8C40-49DF-B4E4-C80C19B369CF}"/>
    <cellStyle name="Standaard 40 3" xfId="183" xr:uid="{36B9FC10-55FB-42BE-8FA1-91B08D72D96B}"/>
    <cellStyle name="Standaard 41" xfId="74" xr:uid="{C8A64776-3D98-4772-8B0C-9866BED2C39E}"/>
    <cellStyle name="Standaard 41 2" xfId="125" xr:uid="{759D3CEF-ED1B-4408-8EC3-31DBE7011FDC}"/>
    <cellStyle name="Standaard 41 3" xfId="184" xr:uid="{906D540C-0E1C-423A-9E8C-1F8D937C79B3}"/>
    <cellStyle name="Standaard 42" xfId="75" xr:uid="{400C485B-306E-4E5E-B336-AB60F49855FB}"/>
    <cellStyle name="Standaard 42 2" xfId="126" xr:uid="{DECA6169-765A-4929-B930-6E6E897CBE17}"/>
    <cellStyle name="Standaard 42 3" xfId="185" xr:uid="{CA36CFAF-5FE7-492A-B2AE-D31AEC9D4712}"/>
    <cellStyle name="Standaard 43" xfId="76" xr:uid="{AA886A41-79AE-402E-8C75-9D2F2C6CE993}"/>
    <cellStyle name="Standaard 43 2" xfId="127" xr:uid="{F3443731-191C-4EE1-8FB1-555ADFAEEDC8}"/>
    <cellStyle name="Standaard 43 3" xfId="186" xr:uid="{A0C9509C-09B4-4E3E-893B-6A3BEAA1B879}"/>
    <cellStyle name="Standaard 44" xfId="77" xr:uid="{B5BCB55B-3D4F-460B-8385-ACDDB81AC6D0}"/>
    <cellStyle name="Standaard 44 2" xfId="128" xr:uid="{1A7CA627-4D2C-4335-81EA-B057CF0F8A65}"/>
    <cellStyle name="Standaard 44 3" xfId="187" xr:uid="{069EBD15-6224-4E43-B16F-C04AB407B891}"/>
    <cellStyle name="Standaard 45" xfId="78" xr:uid="{D810AA4D-80C4-4940-8271-34D145662815}"/>
    <cellStyle name="Standaard 45 2" xfId="129" xr:uid="{11042D55-7D23-4A32-B5FB-7A9197BBB3AE}"/>
    <cellStyle name="Standaard 45 3" xfId="188" xr:uid="{5EB7DD24-9A29-4669-8F54-485F25F95DD5}"/>
    <cellStyle name="Standaard 46" xfId="79" xr:uid="{2A8F8EED-6A00-49C7-B175-0AA404367637}"/>
    <cellStyle name="Standaard 46 2" xfId="130" xr:uid="{F594151E-0949-477B-9C5B-BC5FFF3DC291}"/>
    <cellStyle name="Standaard 46 3" xfId="189" xr:uid="{9E3E214F-993C-40BD-8A9A-FC47AA5F5602}"/>
    <cellStyle name="Standaard 49" xfId="80" xr:uid="{C46F3778-17F2-489A-8BE9-E68810CF40CC}"/>
    <cellStyle name="Standaard 49 2" xfId="131" xr:uid="{F32005A2-8231-44DB-BFF6-AC69B0CE3F52}"/>
    <cellStyle name="Standaard 49 3" xfId="190" xr:uid="{4BF431C9-0816-4314-A061-592B5A837A06}"/>
    <cellStyle name="Standaard 5" xfId="101" xr:uid="{F417194D-5D57-48E4-888F-E5ABDA047E18}"/>
    <cellStyle name="Standaard 50" xfId="81" xr:uid="{BEC4078A-A3BC-4FF9-A2B6-2D7F067AB9FA}"/>
    <cellStyle name="Standaard 50 2" xfId="132" xr:uid="{25F26BCB-F4B4-4FEC-A1A6-24CCA22FF69C}"/>
    <cellStyle name="Standaard 50 3" xfId="191" xr:uid="{C9FC04B8-1DBB-4ECD-BA73-250B71F3626A}"/>
    <cellStyle name="Standaard 51" xfId="82" xr:uid="{300764AF-EFED-4D51-AAA1-906BF262183B}"/>
    <cellStyle name="Standaard 51 2" xfId="133" xr:uid="{B80C092E-F558-480E-A643-30ABD5728439}"/>
    <cellStyle name="Standaard 51 3" xfId="192" xr:uid="{174B6AEA-74A3-4DAD-8EAF-7C0104E90184}"/>
    <cellStyle name="Standaard 52" xfId="83" xr:uid="{85182597-35C1-4ACE-8ED3-2447390FA755}"/>
    <cellStyle name="Standaard 52 2" xfId="27" xr:uid="{00000000-0005-0000-0000-00001D000000}"/>
    <cellStyle name="Standaard 52 3" xfId="149" xr:uid="{B37E57A3-0C93-478A-852A-54A7F312F594}"/>
    <cellStyle name="Standaard 53" xfId="84" xr:uid="{3449BFC8-DC56-4F25-9E17-022393639204}"/>
    <cellStyle name="Standaard 53 2" xfId="28" xr:uid="{00000000-0005-0000-0000-00001E000000}"/>
    <cellStyle name="Standaard 53 3" xfId="150" xr:uid="{EB5957A9-549F-4C30-A557-7221177DE0E0}"/>
    <cellStyle name="Standaard 54" xfId="85" xr:uid="{0A7D7123-DC13-41EB-93A7-DE5932EAE85E}"/>
    <cellStyle name="Standaard 54 2" xfId="134" xr:uid="{20875BF9-9B8C-4E54-B92D-7BF566FAD5B6}"/>
    <cellStyle name="Standaard 54 3" xfId="193" xr:uid="{2C3EC3BC-1380-47D4-A198-9D1B5B755C01}"/>
    <cellStyle name="Standaard 55" xfId="86" xr:uid="{59EB02DF-15EB-4FB0-BD6A-BD22D1E876BB}"/>
    <cellStyle name="Standaard 55 2" xfId="135" xr:uid="{1DB0AB2E-2BEF-41E3-BF5C-354155B06CBE}"/>
    <cellStyle name="Standaard 55 3" xfId="194" xr:uid="{5A7F2930-8F87-4C49-96AF-2183960EBDDD}"/>
    <cellStyle name="Standaard 56" xfId="87" xr:uid="{6C0D9960-55EA-45F2-8DC7-18F77213AD38}"/>
    <cellStyle name="Standaard 56 2" xfId="136" xr:uid="{78ACBBDE-C153-4AE1-B91D-618C311C331F}"/>
    <cellStyle name="Standaard 56 3" xfId="195" xr:uid="{F98EF72D-41B3-4EDD-829D-9276F58398C3}"/>
    <cellStyle name="Standaard 58" xfId="88" xr:uid="{A084E715-CD64-421A-B8D8-343D1E3AB0A5}"/>
    <cellStyle name="Standaard 58 2" xfId="137" xr:uid="{AA167530-55A7-40D3-AC5C-BCF274C5C82A}"/>
    <cellStyle name="Standaard 58 3" xfId="196" xr:uid="{B486E6B0-EC82-4727-BD1F-995AC9EE4816}"/>
    <cellStyle name="Standaard 59" xfId="89" xr:uid="{256B8D12-E23E-4F92-BEF4-A861D6827FDF}"/>
    <cellStyle name="Standaard 59 2" xfId="138" xr:uid="{9C7F067E-1606-4C8E-995A-B5C9D1644793}"/>
    <cellStyle name="Standaard 59 3" xfId="197" xr:uid="{A6310EC0-E997-4A9B-BC09-2DF3758CB7FA}"/>
    <cellStyle name="Standaard 6" xfId="43" xr:uid="{07D6E4EC-99EF-4C0F-9ED8-0481B369B6F5}"/>
    <cellStyle name="Standaard 6 2" xfId="104" xr:uid="{FCF9297C-45F7-4DDB-A1B8-5333362EBCA5}"/>
    <cellStyle name="Standaard 6 3" xfId="154" xr:uid="{29B2FBE6-F0D1-4D85-AA10-FDE7D6F821DF}"/>
    <cellStyle name="Standaard 62" xfId="90" xr:uid="{0F7D7F5D-3C22-436B-AE15-709CB1ED98C1}"/>
    <cellStyle name="Standaard 62 2" xfId="139" xr:uid="{DC690D36-BD6B-42D5-B65E-ACBB223BC6F8}"/>
    <cellStyle name="Standaard 62 3" xfId="198" xr:uid="{140287B1-9D0E-4800-9ADD-CD38A326FD68}"/>
    <cellStyle name="Standaard 63" xfId="91" xr:uid="{8A2CC85D-9127-4DA0-A542-62BA02EF0B3C}"/>
    <cellStyle name="Standaard 63 2" xfId="140" xr:uid="{8C547E7D-60FE-45EB-8F7A-D9470FC26A51}"/>
    <cellStyle name="Standaard 63 3" xfId="199" xr:uid="{C000845F-B84B-49F3-8C49-8CFAE8C32E41}"/>
    <cellStyle name="Standaard 64" xfId="92" xr:uid="{6117EFBA-4ADF-4523-9C9B-89C7CE5F0EEA}"/>
    <cellStyle name="Standaard 64 2" xfId="141" xr:uid="{0BD35274-FD95-4469-9E3C-D4115383DE30}"/>
    <cellStyle name="Standaard 64 3" xfId="200" xr:uid="{5F3EA9A6-7404-4FF6-B1C1-CD465D510635}"/>
    <cellStyle name="Standaard 65" xfId="93" xr:uid="{D28C8389-8D62-486A-85A7-EF90405AA68D}"/>
    <cellStyle name="Standaard 66" xfId="94" xr:uid="{91764DAF-4408-4D9B-B445-2A016E66D146}"/>
    <cellStyle name="Standaard 66 2" xfId="142" xr:uid="{1BBA3C8A-5894-4AD6-8363-14F66268B277}"/>
    <cellStyle name="Standaard 66 3" xfId="201" xr:uid="{4DD24B55-A839-47D3-A3B0-21CECA8C4674}"/>
    <cellStyle name="Standaard 67" xfId="95" xr:uid="{F9BB2C28-CF5A-41DE-BD85-C56AF3D21265}"/>
    <cellStyle name="Standaard 67 2" xfId="143" xr:uid="{C151E20A-C1F0-4521-8CE4-9501569D64E4}"/>
    <cellStyle name="Standaard 67 3" xfId="202" xr:uid="{712F1756-1055-49D0-BB27-12DD0D7E87DF}"/>
    <cellStyle name="Standaard 68" xfId="96" xr:uid="{37599D4D-F042-4299-BA1D-D4E5803E4C9B}"/>
    <cellStyle name="Standaard 68 2" xfId="144" xr:uid="{2892F31D-4EDB-4FFB-A2A8-A2733775A6C6}"/>
    <cellStyle name="Standaard 68 3" xfId="203" xr:uid="{1394EAFC-1DA0-4DA9-85E2-CCC8FED2DE0B}"/>
    <cellStyle name="Standaard 69" xfId="97" xr:uid="{E4846255-858A-43FF-83B8-EC9B21187596}"/>
    <cellStyle name="Standaard 69 2" xfId="145" xr:uid="{36564FFC-FB89-4951-9D2C-5F12600D3B97}"/>
    <cellStyle name="Standaard 69 3" xfId="204" xr:uid="{B31072F7-77F0-40B1-9D21-225FC1823ADF}"/>
    <cellStyle name="Standaard 7" xfId="44" xr:uid="{97F148EB-DB7B-499C-8D99-41C0E14BCAAA}"/>
    <cellStyle name="Standaard 7 2" xfId="25" xr:uid="{00000000-0005-0000-0000-00001F000000}"/>
    <cellStyle name="Standaard 7 3" xfId="155" xr:uid="{63D3BAEC-2ADD-4B9D-A7B1-DD07224F15A1}"/>
    <cellStyle name="Standaard 70" xfId="98" xr:uid="{135B7766-4298-4468-B5FC-55475335BC06}"/>
    <cellStyle name="Standaard 70 2" xfId="146" xr:uid="{A88B78E1-545B-47E1-9F4B-417892667C12}"/>
    <cellStyle name="Standaard 70 3" xfId="205" xr:uid="{FE058B9B-BAE6-4624-B209-425245EDAF41}"/>
    <cellStyle name="Standaard 71" xfId="99" xr:uid="{9115DA11-B2F9-4A14-97A2-601BD81B73DA}"/>
    <cellStyle name="Standaard 71 2" xfId="147" xr:uid="{901D59BC-9615-405B-9A28-F269B60E4DC6}"/>
    <cellStyle name="Standaard 71 3" xfId="206" xr:uid="{6AE8D32E-34B3-4B6E-96E3-7CFAB22B7DEB}"/>
    <cellStyle name="Standaard 72" xfId="100" xr:uid="{54A75486-FE9C-4DBA-9E91-7EF3D7789CBF}"/>
    <cellStyle name="Standaard 72 2" xfId="148" xr:uid="{F701D7DC-46C0-4B27-AB41-F27E8EAA41A3}"/>
    <cellStyle name="Standaard 72 3" xfId="207" xr:uid="{1B4C9CA4-7676-4FCB-8A57-3CE3D9AEA6A7}"/>
    <cellStyle name="Standaard 9" xfId="45" xr:uid="{1B06BA9A-DBDC-4575-AB67-F8EF13507EEA}"/>
    <cellStyle name="Standaard 9 2" xfId="105" xr:uid="{88D9EE08-D0BF-4EA4-AD42-72B8DC489EEE}"/>
    <cellStyle name="Standaard 9 3" xfId="156" xr:uid="{AF4C1B74-74DB-4BF5-9721-5A70E0970759}"/>
    <cellStyle name="Valuta 2" xfId="102" xr:uid="{0C6FF504-0929-4C16-8596-88960D3FD38A}"/>
    <cellStyle name="Обычный_листинг" xfId="226" xr:uid="{8666EBC0-EAD2-4E44-9F46-2FFAA47B0ED1}"/>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FF00"/>
      <color rgb="FFFF3B3B"/>
      <color rgb="FFFF0000"/>
      <color rgb="FFFF6600"/>
      <color rgb="FF33CC33"/>
      <color rgb="FF00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19.jpeg"/><Relationship Id="rId18" Type="http://schemas.openxmlformats.org/officeDocument/2006/relationships/image" Target="../media/image44.emf"/><Relationship Id="rId26" Type="http://schemas.openxmlformats.org/officeDocument/2006/relationships/image" Target="../media/image46.png"/><Relationship Id="rId3" Type="http://schemas.openxmlformats.org/officeDocument/2006/relationships/image" Target="../media/image2.jpeg"/><Relationship Id="rId21" Type="http://schemas.openxmlformats.org/officeDocument/2006/relationships/image" Target="../media/image22.png"/><Relationship Id="rId7" Type="http://schemas.openxmlformats.org/officeDocument/2006/relationships/image" Target="../media/image31.png"/><Relationship Id="rId12" Type="http://schemas.openxmlformats.org/officeDocument/2006/relationships/image" Target="../media/image43.png"/><Relationship Id="rId17" Type="http://schemas.openxmlformats.org/officeDocument/2006/relationships/image" Target="../media/image8.png"/><Relationship Id="rId25" Type="http://schemas.openxmlformats.org/officeDocument/2006/relationships/image" Target="../media/image34.png"/><Relationship Id="rId2" Type="http://schemas.openxmlformats.org/officeDocument/2006/relationships/image" Target="../media/image42.png"/><Relationship Id="rId16" Type="http://schemas.openxmlformats.org/officeDocument/2006/relationships/image" Target="../media/image11.png"/><Relationship Id="rId20" Type="http://schemas.openxmlformats.org/officeDocument/2006/relationships/image" Target="../media/image38.png"/><Relationship Id="rId29" Type="http://schemas.openxmlformats.org/officeDocument/2006/relationships/image" Target="../media/image49.png"/><Relationship Id="rId1" Type="http://schemas.openxmlformats.org/officeDocument/2006/relationships/image" Target="../media/image1.jpeg"/><Relationship Id="rId6" Type="http://schemas.openxmlformats.org/officeDocument/2006/relationships/image" Target="../media/image30.png"/><Relationship Id="rId11" Type="http://schemas.openxmlformats.org/officeDocument/2006/relationships/image" Target="../media/image25.png"/><Relationship Id="rId24" Type="http://schemas.openxmlformats.org/officeDocument/2006/relationships/image" Target="../media/image14.png"/><Relationship Id="rId5" Type="http://schemas.openxmlformats.org/officeDocument/2006/relationships/image" Target="../media/image29.jpg"/><Relationship Id="rId15" Type="http://schemas.openxmlformats.org/officeDocument/2006/relationships/image" Target="../media/image3.png"/><Relationship Id="rId23" Type="http://schemas.openxmlformats.org/officeDocument/2006/relationships/image" Target="../media/image12.png"/><Relationship Id="rId28" Type="http://schemas.openxmlformats.org/officeDocument/2006/relationships/image" Target="../media/image48.png"/><Relationship Id="rId10" Type="http://schemas.openxmlformats.org/officeDocument/2006/relationships/image" Target="../media/image24.png"/><Relationship Id="rId19" Type="http://schemas.openxmlformats.org/officeDocument/2006/relationships/image" Target="../media/image45.emf"/><Relationship Id="rId4" Type="http://schemas.openxmlformats.org/officeDocument/2006/relationships/image" Target="../media/image28.png"/><Relationship Id="rId9" Type="http://schemas.openxmlformats.org/officeDocument/2006/relationships/image" Target="../media/image32.png"/><Relationship Id="rId14" Type="http://schemas.openxmlformats.org/officeDocument/2006/relationships/image" Target="../media/image21.jpg"/><Relationship Id="rId22" Type="http://schemas.openxmlformats.org/officeDocument/2006/relationships/image" Target="../media/image13.png"/><Relationship Id="rId27" Type="http://schemas.openxmlformats.org/officeDocument/2006/relationships/image" Target="../media/image47.png"/><Relationship Id="rId30" Type="http://schemas.openxmlformats.org/officeDocument/2006/relationships/image" Target="../media/image2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23.png"/><Relationship Id="rId3" Type="http://schemas.openxmlformats.org/officeDocument/2006/relationships/image" Target="../media/image20.jpeg"/><Relationship Id="rId7" Type="http://schemas.openxmlformats.org/officeDocument/2006/relationships/image" Target="../media/image8.png"/><Relationship Id="rId12" Type="http://schemas.openxmlformats.org/officeDocument/2006/relationships/image" Target="../media/image14.png"/><Relationship Id="rId2" Type="http://schemas.openxmlformats.org/officeDocument/2006/relationships/image" Target="../media/image1.jpeg"/><Relationship Id="rId1" Type="http://schemas.openxmlformats.org/officeDocument/2006/relationships/image" Target="../media/image19.jpeg"/><Relationship Id="rId6" Type="http://schemas.openxmlformats.org/officeDocument/2006/relationships/image" Target="../media/image4.jpeg"/><Relationship Id="rId11" Type="http://schemas.openxmlformats.org/officeDocument/2006/relationships/image" Target="../media/image22.png"/><Relationship Id="rId5" Type="http://schemas.openxmlformats.org/officeDocument/2006/relationships/image" Target="../media/image21.jpg"/><Relationship Id="rId10" Type="http://schemas.openxmlformats.org/officeDocument/2006/relationships/image" Target="../media/image10.png"/><Relationship Id="rId4" Type="http://schemas.openxmlformats.org/officeDocument/2006/relationships/image" Target="../media/image2.jpe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4.png"/><Relationship Id="rId7" Type="http://schemas.openxmlformats.org/officeDocument/2006/relationships/image" Target="../media/image8.png"/><Relationship Id="rId12" Type="http://schemas.openxmlformats.org/officeDocument/2006/relationships/image" Target="../media/image23.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10.png"/><Relationship Id="rId11" Type="http://schemas.openxmlformats.org/officeDocument/2006/relationships/image" Target="../media/image14.png"/><Relationship Id="rId5" Type="http://schemas.openxmlformats.org/officeDocument/2006/relationships/image" Target="../media/image26.png"/><Relationship Id="rId10" Type="http://schemas.openxmlformats.org/officeDocument/2006/relationships/image" Target="../media/image12.png"/><Relationship Id="rId4" Type="http://schemas.openxmlformats.org/officeDocument/2006/relationships/image" Target="../media/image25.png"/><Relationship Id="rId9"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jpeg"/><Relationship Id="rId13" Type="http://schemas.openxmlformats.org/officeDocument/2006/relationships/image" Target="../media/image14.png"/><Relationship Id="rId3" Type="http://schemas.openxmlformats.org/officeDocument/2006/relationships/image" Target="../media/image24.png"/><Relationship Id="rId7" Type="http://schemas.openxmlformats.org/officeDocument/2006/relationships/image" Target="../media/image21.jpg"/><Relationship Id="rId12" Type="http://schemas.openxmlformats.org/officeDocument/2006/relationships/image" Target="../media/image2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10.png"/><Relationship Id="rId10" Type="http://schemas.openxmlformats.org/officeDocument/2006/relationships/image" Target="../media/image12.png"/><Relationship Id="rId4" Type="http://schemas.openxmlformats.org/officeDocument/2006/relationships/image" Target="../media/image25.png"/><Relationship Id="rId9" Type="http://schemas.openxmlformats.org/officeDocument/2006/relationships/image" Target="../media/image27.png"/><Relationship Id="rId1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14.png"/><Relationship Id="rId3" Type="http://schemas.openxmlformats.org/officeDocument/2006/relationships/image" Target="../media/image28.png"/><Relationship Id="rId7" Type="http://schemas.openxmlformats.org/officeDocument/2006/relationships/image" Target="../media/image27.png"/><Relationship Id="rId12" Type="http://schemas.openxmlformats.org/officeDocument/2006/relationships/image" Target="../media/image33.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31.png"/><Relationship Id="rId11" Type="http://schemas.openxmlformats.org/officeDocument/2006/relationships/image" Target="../media/image13.png"/><Relationship Id="rId5" Type="http://schemas.openxmlformats.org/officeDocument/2006/relationships/image" Target="../media/image30.png"/><Relationship Id="rId15" Type="http://schemas.openxmlformats.org/officeDocument/2006/relationships/image" Target="../media/image23.png"/><Relationship Id="rId10" Type="http://schemas.openxmlformats.org/officeDocument/2006/relationships/image" Target="../media/image12.png"/><Relationship Id="rId4" Type="http://schemas.openxmlformats.org/officeDocument/2006/relationships/image" Target="../media/image29.jpg"/><Relationship Id="rId9" Type="http://schemas.openxmlformats.org/officeDocument/2006/relationships/image" Target="../media/image8.png"/><Relationship Id="rId14" Type="http://schemas.openxmlformats.org/officeDocument/2006/relationships/image" Target="../media/image34.png"/></Relationships>
</file>

<file path=xl/drawings/_rels/drawing6.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8.png"/><Relationship Id="rId18" Type="http://schemas.openxmlformats.org/officeDocument/2006/relationships/image" Target="../media/image34.png"/><Relationship Id="rId3" Type="http://schemas.openxmlformats.org/officeDocument/2006/relationships/image" Target="../media/image28.png"/><Relationship Id="rId7" Type="http://schemas.openxmlformats.org/officeDocument/2006/relationships/image" Target="../media/image27.png"/><Relationship Id="rId12" Type="http://schemas.openxmlformats.org/officeDocument/2006/relationships/image" Target="../media/image10.png"/><Relationship Id="rId17" Type="http://schemas.openxmlformats.org/officeDocument/2006/relationships/image" Target="../media/image14.png"/><Relationship Id="rId2" Type="http://schemas.openxmlformats.org/officeDocument/2006/relationships/image" Target="../media/image2.jpeg"/><Relationship Id="rId16" Type="http://schemas.openxmlformats.org/officeDocument/2006/relationships/image" Target="../media/image22.png"/><Relationship Id="rId1" Type="http://schemas.openxmlformats.org/officeDocument/2006/relationships/image" Target="../media/image1.jpeg"/><Relationship Id="rId6" Type="http://schemas.openxmlformats.org/officeDocument/2006/relationships/image" Target="../media/image31.png"/><Relationship Id="rId11" Type="http://schemas.openxmlformats.org/officeDocument/2006/relationships/image" Target="../media/image21.jpg"/><Relationship Id="rId5" Type="http://schemas.openxmlformats.org/officeDocument/2006/relationships/image" Target="../media/image30.png"/><Relationship Id="rId15" Type="http://schemas.openxmlformats.org/officeDocument/2006/relationships/image" Target="../media/image12.png"/><Relationship Id="rId10" Type="http://schemas.openxmlformats.org/officeDocument/2006/relationships/image" Target="../media/image19.jpeg"/><Relationship Id="rId19" Type="http://schemas.openxmlformats.org/officeDocument/2006/relationships/image" Target="../media/image23.png"/><Relationship Id="rId4" Type="http://schemas.openxmlformats.org/officeDocument/2006/relationships/image" Target="../media/image29.jpg"/><Relationship Id="rId9" Type="http://schemas.openxmlformats.org/officeDocument/2006/relationships/image" Target="../media/image26.png"/><Relationship Id="rId1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5.png"/><Relationship Id="rId7" Type="http://schemas.openxmlformats.org/officeDocument/2006/relationships/image" Target="../media/image8.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37.jpeg"/><Relationship Id="rId11" Type="http://schemas.openxmlformats.org/officeDocument/2006/relationships/image" Target="../media/image23.png"/><Relationship Id="rId5" Type="http://schemas.openxmlformats.org/officeDocument/2006/relationships/image" Target="../media/image36.png"/><Relationship Id="rId10" Type="http://schemas.openxmlformats.org/officeDocument/2006/relationships/image" Target="../media/image14.png"/><Relationship Id="rId4" Type="http://schemas.openxmlformats.org/officeDocument/2006/relationships/image" Target="../media/image35.png"/><Relationship Id="rId9" Type="http://schemas.openxmlformats.org/officeDocument/2006/relationships/image" Target="../media/image12.png"/></Relationships>
</file>

<file path=xl/drawings/_rels/drawing8.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4.png"/><Relationship Id="rId3" Type="http://schemas.openxmlformats.org/officeDocument/2006/relationships/image" Target="../media/image5.png"/><Relationship Id="rId7" Type="http://schemas.openxmlformats.org/officeDocument/2006/relationships/image" Target="../media/image8.png"/><Relationship Id="rId12" Type="http://schemas.openxmlformats.org/officeDocument/2006/relationships/image" Target="../media/image38.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37.jpeg"/><Relationship Id="rId11" Type="http://schemas.openxmlformats.org/officeDocument/2006/relationships/image" Target="../media/image22.png"/><Relationship Id="rId5" Type="http://schemas.openxmlformats.org/officeDocument/2006/relationships/image" Target="../media/image36.png"/><Relationship Id="rId10" Type="http://schemas.openxmlformats.org/officeDocument/2006/relationships/image" Target="../media/image20.jpeg"/><Relationship Id="rId4" Type="http://schemas.openxmlformats.org/officeDocument/2006/relationships/image" Target="../media/image35.png"/><Relationship Id="rId9" Type="http://schemas.openxmlformats.org/officeDocument/2006/relationships/image" Target="../media/image13.png"/><Relationship Id="rId14" Type="http://schemas.openxmlformats.org/officeDocument/2006/relationships/image" Target="../media/image23.png"/></Relationships>
</file>

<file path=xl/drawings/_rels/drawing9.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35.png"/><Relationship Id="rId7" Type="http://schemas.openxmlformats.org/officeDocument/2006/relationships/image" Target="../media/image8.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41.png"/><Relationship Id="rId11" Type="http://schemas.openxmlformats.org/officeDocument/2006/relationships/image" Target="../media/image23.png"/><Relationship Id="rId5" Type="http://schemas.openxmlformats.org/officeDocument/2006/relationships/image" Target="../media/image40.png"/><Relationship Id="rId10" Type="http://schemas.openxmlformats.org/officeDocument/2006/relationships/image" Target="../media/image14.png"/><Relationship Id="rId4" Type="http://schemas.openxmlformats.org/officeDocument/2006/relationships/image" Target="../media/image39.emf"/><Relationship Id="rId9" Type="http://schemas.openxmlformats.org/officeDocument/2006/relationships/image" Target="../media/image1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12</xdr:col>
      <xdr:colOff>352425</xdr:colOff>
      <xdr:row>11</xdr:row>
      <xdr:rowOff>285750</xdr:rowOff>
    </xdr:from>
    <xdr:to>
      <xdr:col>14</xdr:col>
      <xdr:colOff>295274</xdr:colOff>
      <xdr:row>14</xdr:row>
      <xdr:rowOff>365124</xdr:rowOff>
    </xdr:to>
    <xdr:pic>
      <xdr:nvPicPr>
        <xdr:cNvPr id="45" name="Picture 2" descr="MAGNUM Remote Contro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00" y="4143375"/>
          <a:ext cx="1085849" cy="1085849"/>
        </a:xfrm>
        <a:prstGeom prst="rect">
          <a:avLst/>
        </a:prstGeom>
        <a:noFill/>
      </xdr:spPr>
    </xdr:pic>
    <xdr:clientData/>
  </xdr:twoCellAnchor>
  <xdr:twoCellAnchor editAs="oneCell">
    <xdr:from>
      <xdr:col>0</xdr:col>
      <xdr:colOff>85725</xdr:colOff>
      <xdr:row>0</xdr:row>
      <xdr:rowOff>85725</xdr:rowOff>
    </xdr:from>
    <xdr:to>
      <xdr:col>2</xdr:col>
      <xdr:colOff>647700</xdr:colOff>
      <xdr:row>0</xdr:row>
      <xdr:rowOff>1514475</xdr:rowOff>
    </xdr:to>
    <xdr:pic>
      <xdr:nvPicPr>
        <xdr:cNvPr id="3" name="Imagine 2">
          <a:extLst>
            <a:ext uri="{FF2B5EF4-FFF2-40B4-BE49-F238E27FC236}">
              <a16:creationId xmlns:a16="http://schemas.microsoft.com/office/drawing/2014/main" id="{41FB4F1A-4B48-4EBA-89A0-BC6BF3356A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85725"/>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276226</xdr:colOff>
      <xdr:row>9</xdr:row>
      <xdr:rowOff>333376</xdr:rowOff>
    </xdr:from>
    <xdr:to>
      <xdr:col>2</xdr:col>
      <xdr:colOff>1092201</xdr:colOff>
      <xdr:row>13</xdr:row>
      <xdr:rowOff>483430</xdr:rowOff>
    </xdr:to>
    <xdr:pic>
      <xdr:nvPicPr>
        <xdr:cNvPr id="2" name="Imagine 1">
          <a:extLst>
            <a:ext uri="{FF2B5EF4-FFF2-40B4-BE49-F238E27FC236}">
              <a16:creationId xmlns:a16="http://schemas.microsoft.com/office/drawing/2014/main" id="{9106217C-4A98-07DD-F5E7-645E4DD730CB}"/>
            </a:ext>
          </a:extLst>
        </xdr:cNvPr>
        <xdr:cNvPicPr>
          <a:picLocks noChangeAspect="1"/>
        </xdr:cNvPicPr>
      </xdr:nvPicPr>
      <xdr:blipFill>
        <a:blip xmlns:r="http://schemas.openxmlformats.org/officeDocument/2006/relationships" r:embed="rId3"/>
        <a:stretch>
          <a:fillRect/>
        </a:stretch>
      </xdr:blipFill>
      <xdr:spPr>
        <a:xfrm>
          <a:off x="276226" y="3457576"/>
          <a:ext cx="1828800" cy="1229554"/>
        </a:xfrm>
        <a:prstGeom prst="rect">
          <a:avLst/>
        </a:prstGeom>
      </xdr:spPr>
    </xdr:pic>
    <xdr:clientData/>
  </xdr:twoCellAnchor>
  <xdr:twoCellAnchor editAs="oneCell">
    <xdr:from>
      <xdr:col>1</xdr:col>
      <xdr:colOff>358775</xdr:colOff>
      <xdr:row>13</xdr:row>
      <xdr:rowOff>444501</xdr:rowOff>
    </xdr:from>
    <xdr:to>
      <xdr:col>2</xdr:col>
      <xdr:colOff>695137</xdr:colOff>
      <xdr:row>15</xdr:row>
      <xdr:rowOff>180975</xdr:rowOff>
    </xdr:to>
    <xdr:pic>
      <xdr:nvPicPr>
        <xdr:cNvPr id="8" name="Imagine 7">
          <a:extLst>
            <a:ext uri="{FF2B5EF4-FFF2-40B4-BE49-F238E27FC236}">
              <a16:creationId xmlns:a16="http://schemas.microsoft.com/office/drawing/2014/main" id="{F3DFAE65-13D7-A9F8-2FB8-B6F97B9C6A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7875" y="4645026"/>
          <a:ext cx="930087" cy="723899"/>
        </a:xfrm>
        <a:prstGeom prst="rect">
          <a:avLst/>
        </a:prstGeom>
      </xdr:spPr>
    </xdr:pic>
    <xdr:clientData/>
  </xdr:twoCellAnchor>
  <xdr:twoCellAnchor editAs="oneCell">
    <xdr:from>
      <xdr:col>2</xdr:col>
      <xdr:colOff>276225</xdr:colOff>
      <xdr:row>93</xdr:row>
      <xdr:rowOff>152400</xdr:rowOff>
    </xdr:from>
    <xdr:to>
      <xdr:col>5</xdr:col>
      <xdr:colOff>66675</xdr:colOff>
      <xdr:row>112</xdr:row>
      <xdr:rowOff>76200</xdr:rowOff>
    </xdr:to>
    <xdr:pic>
      <xdr:nvPicPr>
        <xdr:cNvPr id="17" name="Imagine 16">
          <a:extLst>
            <a:ext uri="{FF2B5EF4-FFF2-40B4-BE49-F238E27FC236}">
              <a16:creationId xmlns:a16="http://schemas.microsoft.com/office/drawing/2014/main" id="{0BBBEFF8-3090-1DA8-7AC5-E41F2CE3EE2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38250" y="15544800"/>
          <a:ext cx="4562475" cy="4105275"/>
        </a:xfrm>
        <a:prstGeom prst="rect">
          <a:avLst/>
        </a:prstGeom>
      </xdr:spPr>
    </xdr:pic>
    <xdr:clientData/>
  </xdr:twoCellAnchor>
  <xdr:twoCellAnchor editAs="oneCell">
    <xdr:from>
      <xdr:col>2</xdr:col>
      <xdr:colOff>1158875</xdr:colOff>
      <xdr:row>14</xdr:row>
      <xdr:rowOff>44451</xdr:rowOff>
    </xdr:from>
    <xdr:to>
      <xdr:col>2</xdr:col>
      <xdr:colOff>2114550</xdr:colOff>
      <xdr:row>16</xdr:row>
      <xdr:rowOff>9904</xdr:rowOff>
    </xdr:to>
    <xdr:pic>
      <xdr:nvPicPr>
        <xdr:cNvPr id="11" name="Picture 2" descr="spacer">
          <a:extLst>
            <a:ext uri="{FF2B5EF4-FFF2-40B4-BE49-F238E27FC236}">
              <a16:creationId xmlns:a16="http://schemas.microsoft.com/office/drawing/2014/main" id="{106C9D07-49FB-47CC-A328-E1267F8A6071}"/>
            </a:ext>
          </a:extLst>
        </xdr:cNvPr>
        <xdr:cNvPicPr>
          <a:picLocks noChangeAspect="1" noChangeArrowheads="1"/>
        </xdr:cNvPicPr>
      </xdr:nvPicPr>
      <xdr:blipFill>
        <a:blip xmlns:r="http://schemas.openxmlformats.org/officeDocument/2006/relationships" r:embed="rId6"/>
        <a:srcRect/>
        <a:stretch>
          <a:fillRect/>
        </a:stretch>
      </xdr:blipFill>
      <xdr:spPr bwMode="auto">
        <a:xfrm>
          <a:off x="2168525" y="4740276"/>
          <a:ext cx="955675" cy="686178"/>
        </a:xfrm>
        <a:prstGeom prst="rect">
          <a:avLst/>
        </a:prstGeom>
        <a:noFill/>
      </xdr:spPr>
    </xdr:pic>
    <xdr:clientData/>
  </xdr:twoCellAnchor>
  <xdr:twoCellAnchor editAs="oneCell">
    <xdr:from>
      <xdr:col>8</xdr:col>
      <xdr:colOff>352425</xdr:colOff>
      <xdr:row>18</xdr:row>
      <xdr:rowOff>273050</xdr:rowOff>
    </xdr:from>
    <xdr:to>
      <xdr:col>11</xdr:col>
      <xdr:colOff>401303</xdr:colOff>
      <xdr:row>21</xdr:row>
      <xdr:rowOff>177800</xdr:rowOff>
    </xdr:to>
    <xdr:pic>
      <xdr:nvPicPr>
        <xdr:cNvPr id="19" name="Imagine 18">
          <a:extLst>
            <a:ext uri="{FF2B5EF4-FFF2-40B4-BE49-F238E27FC236}">
              <a16:creationId xmlns:a16="http://schemas.microsoft.com/office/drawing/2014/main" id="{E2BD8BF4-FBB3-8731-A238-A28F0FCA1664}"/>
            </a:ext>
          </a:extLst>
        </xdr:cNvPr>
        <xdr:cNvPicPr>
          <a:picLocks noChangeAspect="1"/>
        </xdr:cNvPicPr>
      </xdr:nvPicPr>
      <xdr:blipFill>
        <a:blip xmlns:r="http://schemas.openxmlformats.org/officeDocument/2006/relationships" r:embed="rId7"/>
        <a:stretch>
          <a:fillRect/>
        </a:stretch>
      </xdr:blipFill>
      <xdr:spPr>
        <a:xfrm>
          <a:off x="8429625" y="6492875"/>
          <a:ext cx="1925303" cy="847725"/>
        </a:xfrm>
        <a:prstGeom prst="rect">
          <a:avLst/>
        </a:prstGeom>
      </xdr:spPr>
    </xdr:pic>
    <xdr:clientData/>
  </xdr:twoCellAnchor>
  <xdr:twoCellAnchor editAs="oneCell">
    <xdr:from>
      <xdr:col>9</xdr:col>
      <xdr:colOff>95251</xdr:colOff>
      <xdr:row>12</xdr:row>
      <xdr:rowOff>114300</xdr:rowOff>
    </xdr:from>
    <xdr:to>
      <xdr:col>10</xdr:col>
      <xdr:colOff>114300</xdr:colOff>
      <xdr:row>14</xdr:row>
      <xdr:rowOff>203199</xdr:rowOff>
    </xdr:to>
    <xdr:pic>
      <xdr:nvPicPr>
        <xdr:cNvPr id="13" name="Imagine 12">
          <a:extLst>
            <a:ext uri="{FF2B5EF4-FFF2-40B4-BE49-F238E27FC236}">
              <a16:creationId xmlns:a16="http://schemas.microsoft.com/office/drawing/2014/main" id="{B2A6217B-C227-5D54-81EC-8C960D841FBA}"/>
            </a:ext>
          </a:extLst>
        </xdr:cNvPr>
        <xdr:cNvPicPr>
          <a:picLocks noChangeAspect="1"/>
        </xdr:cNvPicPr>
      </xdr:nvPicPr>
      <xdr:blipFill>
        <a:blip xmlns:r="http://schemas.openxmlformats.org/officeDocument/2006/relationships" r:embed="rId8"/>
        <a:stretch>
          <a:fillRect/>
        </a:stretch>
      </xdr:blipFill>
      <xdr:spPr>
        <a:xfrm>
          <a:off x="8277226" y="4352925"/>
          <a:ext cx="761999" cy="809624"/>
        </a:xfrm>
        <a:prstGeom prst="rect">
          <a:avLst/>
        </a:prstGeom>
      </xdr:spPr>
    </xdr:pic>
    <xdr:clientData/>
  </xdr:twoCellAnchor>
  <xdr:twoCellAnchor editAs="oneCell">
    <xdr:from>
      <xdr:col>2</xdr:col>
      <xdr:colOff>2762250</xdr:colOff>
      <xdr:row>14</xdr:row>
      <xdr:rowOff>69849</xdr:rowOff>
    </xdr:from>
    <xdr:to>
      <xdr:col>2</xdr:col>
      <xdr:colOff>3663950</xdr:colOff>
      <xdr:row>15</xdr:row>
      <xdr:rowOff>162446</xdr:rowOff>
    </xdr:to>
    <xdr:pic>
      <xdr:nvPicPr>
        <xdr:cNvPr id="12" name="Imagine 9">
          <a:extLst>
            <a:ext uri="{FF2B5EF4-FFF2-40B4-BE49-F238E27FC236}">
              <a16:creationId xmlns:a16="http://schemas.microsoft.com/office/drawing/2014/main" id="{F164306A-7498-4FE1-8D08-E5574BC3CDD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771900" y="4765674"/>
          <a:ext cx="904875" cy="584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571500</xdr:colOff>
      <xdr:row>12</xdr:row>
      <xdr:rowOff>276225</xdr:rowOff>
    </xdr:from>
    <xdr:to>
      <xdr:col>15</xdr:col>
      <xdr:colOff>523970</xdr:colOff>
      <xdr:row>14</xdr:row>
      <xdr:rowOff>57150</xdr:rowOff>
    </xdr:to>
    <xdr:pic>
      <xdr:nvPicPr>
        <xdr:cNvPr id="14" name="Imagine 13">
          <a:extLst>
            <a:ext uri="{FF2B5EF4-FFF2-40B4-BE49-F238E27FC236}">
              <a16:creationId xmlns:a16="http://schemas.microsoft.com/office/drawing/2014/main" id="{04F52AF5-5CC0-48C6-A9A2-679BB204C466}"/>
            </a:ext>
          </a:extLst>
        </xdr:cNvPr>
        <xdr:cNvPicPr>
          <a:picLocks noChangeAspect="1"/>
        </xdr:cNvPicPr>
      </xdr:nvPicPr>
      <xdr:blipFill>
        <a:blip xmlns:r="http://schemas.openxmlformats.org/officeDocument/2006/relationships" r:embed="rId10"/>
        <a:stretch>
          <a:fillRect/>
        </a:stretch>
      </xdr:blipFill>
      <xdr:spPr>
        <a:xfrm>
          <a:off x="11839575" y="4514850"/>
          <a:ext cx="555720" cy="552450"/>
        </a:xfrm>
        <a:prstGeom prst="rect">
          <a:avLst/>
        </a:prstGeom>
      </xdr:spPr>
    </xdr:pic>
    <xdr:clientData/>
  </xdr:twoCellAnchor>
  <xdr:twoCellAnchor editAs="oneCell">
    <xdr:from>
      <xdr:col>7</xdr:col>
      <xdr:colOff>444500</xdr:colOff>
      <xdr:row>15</xdr:row>
      <xdr:rowOff>38100</xdr:rowOff>
    </xdr:from>
    <xdr:to>
      <xdr:col>10</xdr:col>
      <xdr:colOff>352425</xdr:colOff>
      <xdr:row>18</xdr:row>
      <xdr:rowOff>220490</xdr:rowOff>
    </xdr:to>
    <xdr:pic>
      <xdr:nvPicPr>
        <xdr:cNvPr id="7" name="Imagine 6">
          <a:extLst>
            <a:ext uri="{FF2B5EF4-FFF2-40B4-BE49-F238E27FC236}">
              <a16:creationId xmlns:a16="http://schemas.microsoft.com/office/drawing/2014/main" id="{C81BC990-CF44-5753-E1E4-C4B6EA851998}"/>
            </a:ext>
          </a:extLst>
        </xdr:cNvPr>
        <xdr:cNvPicPr>
          <a:picLocks noChangeAspect="1"/>
        </xdr:cNvPicPr>
      </xdr:nvPicPr>
      <xdr:blipFill>
        <a:blip xmlns:r="http://schemas.openxmlformats.org/officeDocument/2006/relationships" r:embed="rId11"/>
        <a:stretch>
          <a:fillRect/>
        </a:stretch>
      </xdr:blipFill>
      <xdr:spPr>
        <a:xfrm>
          <a:off x="8074025" y="5610225"/>
          <a:ext cx="1612900" cy="830090"/>
        </a:xfrm>
        <a:prstGeom prst="rect">
          <a:avLst/>
        </a:prstGeom>
      </xdr:spPr>
    </xdr:pic>
    <xdr:clientData/>
  </xdr:twoCellAnchor>
  <xdr:twoCellAnchor editAs="oneCell">
    <xdr:from>
      <xdr:col>4</xdr:col>
      <xdr:colOff>209550</xdr:colOff>
      <xdr:row>13</xdr:row>
      <xdr:rowOff>152400</xdr:rowOff>
    </xdr:from>
    <xdr:to>
      <xdr:col>5</xdr:col>
      <xdr:colOff>685917</xdr:colOff>
      <xdr:row>15</xdr:row>
      <xdr:rowOff>28696</xdr:rowOff>
    </xdr:to>
    <xdr:pic>
      <xdr:nvPicPr>
        <xdr:cNvPr id="15" name="Imagine 14">
          <a:extLst>
            <a:ext uri="{FF2B5EF4-FFF2-40B4-BE49-F238E27FC236}">
              <a16:creationId xmlns:a16="http://schemas.microsoft.com/office/drawing/2014/main" id="{C42E09B2-8BB7-D0A0-323C-FEF6E756334C}"/>
            </a:ext>
          </a:extLst>
        </xdr:cNvPr>
        <xdr:cNvPicPr>
          <a:picLocks noChangeAspect="1"/>
        </xdr:cNvPicPr>
      </xdr:nvPicPr>
      <xdr:blipFill>
        <a:blip xmlns:r="http://schemas.openxmlformats.org/officeDocument/2006/relationships" r:embed="rId12"/>
        <a:stretch>
          <a:fillRect/>
        </a:stretch>
      </xdr:blipFill>
      <xdr:spPr>
        <a:xfrm>
          <a:off x="5524500" y="4781550"/>
          <a:ext cx="838317" cy="866896"/>
        </a:xfrm>
        <a:prstGeom prst="rect">
          <a:avLst/>
        </a:prstGeom>
      </xdr:spPr>
    </xdr:pic>
    <xdr:clientData/>
  </xdr:twoCellAnchor>
  <xdr:twoCellAnchor editAs="oneCell">
    <xdr:from>
      <xdr:col>10</xdr:col>
      <xdr:colOff>571500</xdr:colOff>
      <xdr:row>12</xdr:row>
      <xdr:rowOff>66675</xdr:rowOff>
    </xdr:from>
    <xdr:to>
      <xdr:col>12</xdr:col>
      <xdr:colOff>247772</xdr:colOff>
      <xdr:row>14</xdr:row>
      <xdr:rowOff>196970</xdr:rowOff>
    </xdr:to>
    <xdr:pic>
      <xdr:nvPicPr>
        <xdr:cNvPr id="16" name="Imagine 15">
          <a:extLst>
            <a:ext uri="{FF2B5EF4-FFF2-40B4-BE49-F238E27FC236}">
              <a16:creationId xmlns:a16="http://schemas.microsoft.com/office/drawing/2014/main" id="{9C873340-0117-2B9B-149C-621B1659267F}"/>
            </a:ext>
          </a:extLst>
        </xdr:cNvPr>
        <xdr:cNvPicPr>
          <a:picLocks noChangeAspect="1"/>
        </xdr:cNvPicPr>
      </xdr:nvPicPr>
      <xdr:blipFill>
        <a:blip xmlns:r="http://schemas.openxmlformats.org/officeDocument/2006/relationships" r:embed="rId13"/>
        <a:stretch>
          <a:fillRect/>
        </a:stretch>
      </xdr:blipFill>
      <xdr:spPr>
        <a:xfrm>
          <a:off x="9496425" y="4305300"/>
          <a:ext cx="876422" cy="857370"/>
        </a:xfrm>
        <a:prstGeom prst="rect">
          <a:avLst/>
        </a:prstGeom>
      </xdr:spPr>
    </xdr:pic>
    <xdr:clientData/>
  </xdr:twoCellAnchor>
  <xdr:twoCellAnchor editAs="oneCell">
    <xdr:from>
      <xdr:col>16</xdr:col>
      <xdr:colOff>47624</xdr:colOff>
      <xdr:row>12</xdr:row>
      <xdr:rowOff>215901</xdr:rowOff>
    </xdr:from>
    <xdr:to>
      <xdr:col>16</xdr:col>
      <xdr:colOff>657224</xdr:colOff>
      <xdr:row>14</xdr:row>
      <xdr:rowOff>132166</xdr:rowOff>
    </xdr:to>
    <xdr:pic>
      <xdr:nvPicPr>
        <xdr:cNvPr id="4" name="Picture 3">
          <a:extLst>
            <a:ext uri="{FF2B5EF4-FFF2-40B4-BE49-F238E27FC236}">
              <a16:creationId xmlns:a16="http://schemas.microsoft.com/office/drawing/2014/main" id="{65038719-178D-F11A-0D0D-D8D8C1D1C957}"/>
            </a:ext>
          </a:extLst>
        </xdr:cNvPr>
        <xdr:cNvPicPr>
          <a:picLocks noChangeAspect="1"/>
        </xdr:cNvPicPr>
      </xdr:nvPicPr>
      <xdr:blipFill>
        <a:blip xmlns:r="http://schemas.openxmlformats.org/officeDocument/2006/relationships" r:embed="rId14"/>
        <a:stretch>
          <a:fillRect/>
        </a:stretch>
      </xdr:blipFill>
      <xdr:spPr>
        <a:xfrm>
          <a:off x="13115924" y="4445001"/>
          <a:ext cx="609600" cy="640165"/>
        </a:xfrm>
        <a:prstGeom prst="rect">
          <a:avLst/>
        </a:prstGeom>
      </xdr:spPr>
    </xdr:pic>
    <xdr:clientData/>
  </xdr:twoCellAnchor>
  <xdr:twoCellAnchor editAs="oneCell">
    <xdr:from>
      <xdr:col>12</xdr:col>
      <xdr:colOff>320675</xdr:colOff>
      <xdr:row>15</xdr:row>
      <xdr:rowOff>101600</xdr:rowOff>
    </xdr:from>
    <xdr:to>
      <xdr:col>16</xdr:col>
      <xdr:colOff>600075</xdr:colOff>
      <xdr:row>21</xdr:row>
      <xdr:rowOff>6350</xdr:rowOff>
    </xdr:to>
    <xdr:pic>
      <xdr:nvPicPr>
        <xdr:cNvPr id="6" name="Picture 5">
          <a:extLst>
            <a:ext uri="{FF2B5EF4-FFF2-40B4-BE49-F238E27FC236}">
              <a16:creationId xmlns:a16="http://schemas.microsoft.com/office/drawing/2014/main" id="{0F4D5BE7-DAF0-FDFC-CBD2-1E8103B2D855}"/>
            </a:ext>
          </a:extLst>
        </xdr:cNvPr>
        <xdr:cNvPicPr>
          <a:picLocks noChangeAspect="1"/>
        </xdr:cNvPicPr>
      </xdr:nvPicPr>
      <xdr:blipFill>
        <a:blip xmlns:r="http://schemas.openxmlformats.org/officeDocument/2006/relationships" r:embed="rId15"/>
        <a:stretch>
          <a:fillRect/>
        </a:stretch>
      </xdr:blipFill>
      <xdr:spPr>
        <a:xfrm>
          <a:off x="10912475" y="5673725"/>
          <a:ext cx="2755900" cy="1495425"/>
        </a:xfrm>
        <a:prstGeom prst="rect">
          <a:avLst/>
        </a:prstGeom>
      </xdr:spPr>
    </xdr:pic>
    <xdr:clientData/>
  </xdr:twoCellAnchor>
  <xdr:twoCellAnchor editAs="oneCell">
    <xdr:from>
      <xdr:col>2</xdr:col>
      <xdr:colOff>1406526</xdr:colOff>
      <xdr:row>10</xdr:row>
      <xdr:rowOff>139700</xdr:rowOff>
    </xdr:from>
    <xdr:to>
      <xdr:col>2</xdr:col>
      <xdr:colOff>3238500</xdr:colOff>
      <xdr:row>13</xdr:row>
      <xdr:rowOff>311150</xdr:rowOff>
    </xdr:to>
    <xdr:pic>
      <xdr:nvPicPr>
        <xdr:cNvPr id="9" name="Picture 8">
          <a:extLst>
            <a:ext uri="{FF2B5EF4-FFF2-40B4-BE49-F238E27FC236}">
              <a16:creationId xmlns:a16="http://schemas.microsoft.com/office/drawing/2014/main" id="{65B0F539-941C-6334-8509-C4D9E220CE30}"/>
            </a:ext>
          </a:extLst>
        </xdr:cNvPr>
        <xdr:cNvPicPr>
          <a:picLocks noChangeAspect="1"/>
        </xdr:cNvPicPr>
      </xdr:nvPicPr>
      <xdr:blipFill>
        <a:blip xmlns:r="http://schemas.openxmlformats.org/officeDocument/2006/relationships" r:embed="rId16"/>
        <a:stretch>
          <a:fillRect/>
        </a:stretch>
      </xdr:blipFill>
      <xdr:spPr>
        <a:xfrm>
          <a:off x="2416176" y="3654425"/>
          <a:ext cx="1831974" cy="860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295275</xdr:colOff>
      <xdr:row>2</xdr:row>
      <xdr:rowOff>85725</xdr:rowOff>
    </xdr:from>
    <xdr:to>
      <xdr:col>14</xdr:col>
      <xdr:colOff>761999</xdr:colOff>
      <xdr:row>9</xdr:row>
      <xdr:rowOff>3174</xdr:rowOff>
    </xdr:to>
    <xdr:pic>
      <xdr:nvPicPr>
        <xdr:cNvPr id="2" name="Picture 2" descr="MAGNUM Remote Control">
          <a:extLst>
            <a:ext uri="{FF2B5EF4-FFF2-40B4-BE49-F238E27FC236}">
              <a16:creationId xmlns:a16="http://schemas.microsoft.com/office/drawing/2014/main" id="{A519BF77-BC01-4419-B970-646ED495B3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44100" y="1905000"/>
          <a:ext cx="1133474" cy="1085849"/>
        </a:xfrm>
        <a:prstGeom prst="rect">
          <a:avLst/>
        </a:prstGeom>
        <a:noFill/>
      </xdr:spPr>
    </xdr:pic>
    <xdr:clientData/>
  </xdr:twoCellAnchor>
  <xdr:twoCellAnchor editAs="oneCell">
    <xdr:from>
      <xdr:col>16</xdr:col>
      <xdr:colOff>971551</xdr:colOff>
      <xdr:row>12</xdr:row>
      <xdr:rowOff>47624</xdr:rowOff>
    </xdr:from>
    <xdr:to>
      <xdr:col>18</xdr:col>
      <xdr:colOff>295275</xdr:colOff>
      <xdr:row>12</xdr:row>
      <xdr:rowOff>742605</xdr:rowOff>
    </xdr:to>
    <xdr:pic>
      <xdr:nvPicPr>
        <xdr:cNvPr id="5" name="Imagine 4">
          <a:extLst>
            <a:ext uri="{FF2B5EF4-FFF2-40B4-BE49-F238E27FC236}">
              <a16:creationId xmlns:a16="http://schemas.microsoft.com/office/drawing/2014/main" id="{99C54741-6B50-4F99-AC42-FD71BCB48E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3451" y="3771899"/>
          <a:ext cx="847724" cy="694981"/>
        </a:xfrm>
        <a:prstGeom prst="rect">
          <a:avLst/>
        </a:prstGeom>
      </xdr:spPr>
    </xdr:pic>
    <xdr:clientData/>
  </xdr:twoCellAnchor>
  <xdr:twoCellAnchor editAs="oneCell">
    <xdr:from>
      <xdr:col>0</xdr:col>
      <xdr:colOff>104775</xdr:colOff>
      <xdr:row>0</xdr:row>
      <xdr:rowOff>114300</xdr:rowOff>
    </xdr:from>
    <xdr:to>
      <xdr:col>2</xdr:col>
      <xdr:colOff>695325</xdr:colOff>
      <xdr:row>0</xdr:row>
      <xdr:rowOff>1543050</xdr:rowOff>
    </xdr:to>
    <xdr:pic>
      <xdr:nvPicPr>
        <xdr:cNvPr id="6" name="Imagine 5">
          <a:extLst>
            <a:ext uri="{FF2B5EF4-FFF2-40B4-BE49-F238E27FC236}">
              <a16:creationId xmlns:a16="http://schemas.microsoft.com/office/drawing/2014/main" id="{A4059648-22A7-49E6-8462-6C23A4D617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114300"/>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200025</xdr:colOff>
      <xdr:row>16</xdr:row>
      <xdr:rowOff>9525</xdr:rowOff>
    </xdr:from>
    <xdr:to>
      <xdr:col>17</xdr:col>
      <xdr:colOff>390156</xdr:colOff>
      <xdr:row>20</xdr:row>
      <xdr:rowOff>123825</xdr:rowOff>
    </xdr:to>
    <xdr:pic>
      <xdr:nvPicPr>
        <xdr:cNvPr id="7" name="Imagine 6">
          <a:extLst>
            <a:ext uri="{FF2B5EF4-FFF2-40B4-BE49-F238E27FC236}">
              <a16:creationId xmlns:a16="http://schemas.microsoft.com/office/drawing/2014/main" id="{F5C3E784-8656-4DEF-B984-69274F699C03}"/>
            </a:ext>
          </a:extLst>
        </xdr:cNvPr>
        <xdr:cNvPicPr>
          <a:picLocks noChangeAspect="1"/>
        </xdr:cNvPicPr>
      </xdr:nvPicPr>
      <xdr:blipFill>
        <a:blip xmlns:r="http://schemas.openxmlformats.org/officeDocument/2006/relationships" r:embed="rId4"/>
        <a:stretch>
          <a:fillRect/>
        </a:stretch>
      </xdr:blipFill>
      <xdr:spPr>
        <a:xfrm>
          <a:off x="10858500" y="5953125"/>
          <a:ext cx="1920506" cy="1143000"/>
        </a:xfrm>
        <a:prstGeom prst="rect">
          <a:avLst/>
        </a:prstGeom>
      </xdr:spPr>
    </xdr:pic>
    <xdr:clientData/>
  </xdr:twoCellAnchor>
  <xdr:twoCellAnchor editAs="oneCell">
    <xdr:from>
      <xdr:col>14</xdr:col>
      <xdr:colOff>723900</xdr:colOff>
      <xdr:row>181</xdr:row>
      <xdr:rowOff>66675</xdr:rowOff>
    </xdr:from>
    <xdr:to>
      <xdr:col>19</xdr:col>
      <xdr:colOff>190500</xdr:colOff>
      <xdr:row>197</xdr:row>
      <xdr:rowOff>351</xdr:rowOff>
    </xdr:to>
    <xdr:pic>
      <xdr:nvPicPr>
        <xdr:cNvPr id="8" name="Imagine 7">
          <a:extLst>
            <a:ext uri="{FF2B5EF4-FFF2-40B4-BE49-F238E27FC236}">
              <a16:creationId xmlns:a16="http://schemas.microsoft.com/office/drawing/2014/main" id="{43F3E0A0-1B53-418E-B482-F03F30A43A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582275" y="38681025"/>
          <a:ext cx="3133725" cy="2213326"/>
        </a:xfrm>
        <a:prstGeom prst="rect">
          <a:avLst/>
        </a:prstGeom>
      </xdr:spPr>
    </xdr:pic>
    <xdr:clientData/>
  </xdr:twoCellAnchor>
  <xdr:twoCellAnchor editAs="oneCell">
    <xdr:from>
      <xdr:col>20</xdr:col>
      <xdr:colOff>228602</xdr:colOff>
      <xdr:row>22</xdr:row>
      <xdr:rowOff>28575</xdr:rowOff>
    </xdr:from>
    <xdr:to>
      <xdr:col>21</xdr:col>
      <xdr:colOff>150305</xdr:colOff>
      <xdr:row>24</xdr:row>
      <xdr:rowOff>95249</xdr:rowOff>
    </xdr:to>
    <xdr:pic>
      <xdr:nvPicPr>
        <xdr:cNvPr id="10" name="Imagine 9">
          <a:extLst>
            <a:ext uri="{FF2B5EF4-FFF2-40B4-BE49-F238E27FC236}">
              <a16:creationId xmlns:a16="http://schemas.microsoft.com/office/drawing/2014/main" id="{C506B5B8-736B-4E59-B664-746D21C8DB0A}"/>
            </a:ext>
          </a:extLst>
        </xdr:cNvPr>
        <xdr:cNvPicPr>
          <a:picLocks noChangeAspect="1"/>
        </xdr:cNvPicPr>
      </xdr:nvPicPr>
      <xdr:blipFill>
        <a:blip xmlns:r="http://schemas.openxmlformats.org/officeDocument/2006/relationships" r:embed="rId6"/>
        <a:stretch>
          <a:fillRect/>
        </a:stretch>
      </xdr:blipFill>
      <xdr:spPr>
        <a:xfrm rot="205107">
          <a:off x="14573252" y="7429500"/>
          <a:ext cx="655128" cy="523874"/>
        </a:xfrm>
        <a:prstGeom prst="rect">
          <a:avLst/>
        </a:prstGeom>
      </xdr:spPr>
    </xdr:pic>
    <xdr:clientData/>
  </xdr:twoCellAnchor>
  <xdr:twoCellAnchor editAs="oneCell">
    <xdr:from>
      <xdr:col>18</xdr:col>
      <xdr:colOff>104776</xdr:colOff>
      <xdr:row>16</xdr:row>
      <xdr:rowOff>171451</xdr:rowOff>
    </xdr:from>
    <xdr:to>
      <xdr:col>19</xdr:col>
      <xdr:colOff>540989</xdr:colOff>
      <xdr:row>19</xdr:row>
      <xdr:rowOff>95251</xdr:rowOff>
    </xdr:to>
    <xdr:pic>
      <xdr:nvPicPr>
        <xdr:cNvPr id="11" name="Imagine 10">
          <a:extLst>
            <a:ext uri="{FF2B5EF4-FFF2-40B4-BE49-F238E27FC236}">
              <a16:creationId xmlns:a16="http://schemas.microsoft.com/office/drawing/2014/main" id="{67C52E49-E218-451E-B034-6C01A18ADD04}"/>
            </a:ext>
          </a:extLst>
        </xdr:cNvPr>
        <xdr:cNvPicPr>
          <a:picLocks noChangeAspect="1"/>
        </xdr:cNvPicPr>
      </xdr:nvPicPr>
      <xdr:blipFill>
        <a:blip xmlns:r="http://schemas.openxmlformats.org/officeDocument/2006/relationships" r:embed="rId7"/>
        <a:stretch>
          <a:fillRect/>
        </a:stretch>
      </xdr:blipFill>
      <xdr:spPr>
        <a:xfrm>
          <a:off x="13020676" y="6115051"/>
          <a:ext cx="1045813" cy="723900"/>
        </a:xfrm>
        <a:prstGeom prst="rect">
          <a:avLst/>
        </a:prstGeom>
      </xdr:spPr>
    </xdr:pic>
    <xdr:clientData/>
  </xdr:twoCellAnchor>
  <xdr:twoCellAnchor editAs="oneCell">
    <xdr:from>
      <xdr:col>18</xdr:col>
      <xdr:colOff>475029</xdr:colOff>
      <xdr:row>21</xdr:row>
      <xdr:rowOff>114300</xdr:rowOff>
    </xdr:from>
    <xdr:to>
      <xdr:col>19</xdr:col>
      <xdr:colOff>740790</xdr:colOff>
      <xdr:row>27</xdr:row>
      <xdr:rowOff>149500</xdr:rowOff>
    </xdr:to>
    <xdr:pic>
      <xdr:nvPicPr>
        <xdr:cNvPr id="12" name="Imagine 11">
          <a:extLst>
            <a:ext uri="{FF2B5EF4-FFF2-40B4-BE49-F238E27FC236}">
              <a16:creationId xmlns:a16="http://schemas.microsoft.com/office/drawing/2014/main" id="{D0AAA353-09FC-46B8-9269-007F7E756C0B}"/>
            </a:ext>
          </a:extLst>
        </xdr:cNvPr>
        <xdr:cNvPicPr>
          <a:picLocks noChangeAspect="1"/>
        </xdr:cNvPicPr>
      </xdr:nvPicPr>
      <xdr:blipFill>
        <a:blip xmlns:r="http://schemas.openxmlformats.org/officeDocument/2006/relationships" r:embed="rId8"/>
        <a:stretch>
          <a:fillRect/>
        </a:stretch>
      </xdr:blipFill>
      <xdr:spPr>
        <a:xfrm>
          <a:off x="13390929" y="7286625"/>
          <a:ext cx="875361" cy="1406800"/>
        </a:xfrm>
        <a:prstGeom prst="rect">
          <a:avLst/>
        </a:prstGeom>
      </xdr:spPr>
    </xdr:pic>
    <xdr:clientData/>
  </xdr:twoCellAnchor>
  <xdr:twoCellAnchor editAs="oneCell">
    <xdr:from>
      <xdr:col>12</xdr:col>
      <xdr:colOff>447675</xdr:colOff>
      <xdr:row>16</xdr:row>
      <xdr:rowOff>47625</xdr:rowOff>
    </xdr:from>
    <xdr:to>
      <xdr:col>15</xdr:col>
      <xdr:colOff>196850</xdr:colOff>
      <xdr:row>18</xdr:row>
      <xdr:rowOff>66674</xdr:rowOff>
    </xdr:to>
    <xdr:pic>
      <xdr:nvPicPr>
        <xdr:cNvPr id="13" name="Imagine 12">
          <a:extLst>
            <a:ext uri="{FF2B5EF4-FFF2-40B4-BE49-F238E27FC236}">
              <a16:creationId xmlns:a16="http://schemas.microsoft.com/office/drawing/2014/main" id="{D7A586D0-41A4-4AA4-856A-3F38FB4B4286}"/>
            </a:ext>
          </a:extLst>
        </xdr:cNvPr>
        <xdr:cNvPicPr>
          <a:picLocks noChangeAspect="1"/>
        </xdr:cNvPicPr>
      </xdr:nvPicPr>
      <xdr:blipFill>
        <a:blip xmlns:r="http://schemas.openxmlformats.org/officeDocument/2006/relationships" r:embed="rId9"/>
        <a:stretch>
          <a:fillRect/>
        </a:stretch>
      </xdr:blipFill>
      <xdr:spPr>
        <a:xfrm>
          <a:off x="9458325" y="5553075"/>
          <a:ext cx="1895475" cy="590549"/>
        </a:xfrm>
        <a:prstGeom prst="rect">
          <a:avLst/>
        </a:prstGeom>
      </xdr:spPr>
    </xdr:pic>
    <xdr:clientData/>
  </xdr:twoCellAnchor>
  <xdr:twoCellAnchor editAs="oneCell">
    <xdr:from>
      <xdr:col>13</xdr:col>
      <xdr:colOff>6350</xdr:colOff>
      <xdr:row>20</xdr:row>
      <xdr:rowOff>200024</xdr:rowOff>
    </xdr:from>
    <xdr:to>
      <xdr:col>15</xdr:col>
      <xdr:colOff>765079</xdr:colOff>
      <xdr:row>26</xdr:row>
      <xdr:rowOff>44450</xdr:rowOff>
    </xdr:to>
    <xdr:pic>
      <xdr:nvPicPr>
        <xdr:cNvPr id="14" name="Picture 3" descr="ALU-Foil-Mat - afb. 1">
          <a:extLst>
            <a:ext uri="{FF2B5EF4-FFF2-40B4-BE49-F238E27FC236}">
              <a16:creationId xmlns:a16="http://schemas.microsoft.com/office/drawing/2014/main" id="{6C002473-5E05-4482-99D5-EEFD9ABC35A6}"/>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9655175" y="6705599"/>
          <a:ext cx="2263679" cy="1219201"/>
        </a:xfrm>
        <a:prstGeom prst="rect">
          <a:avLst/>
        </a:prstGeom>
        <a:noFill/>
      </xdr:spPr>
    </xdr:pic>
    <xdr:clientData/>
  </xdr:twoCellAnchor>
  <xdr:twoCellAnchor editAs="oneCell">
    <xdr:from>
      <xdr:col>7</xdr:col>
      <xdr:colOff>209550</xdr:colOff>
      <xdr:row>170</xdr:row>
      <xdr:rowOff>57150</xdr:rowOff>
    </xdr:from>
    <xdr:to>
      <xdr:col>15</xdr:col>
      <xdr:colOff>106339</xdr:colOff>
      <xdr:row>179</xdr:row>
      <xdr:rowOff>6350</xdr:rowOff>
    </xdr:to>
    <xdr:pic>
      <xdr:nvPicPr>
        <xdr:cNvPr id="15" name="Picture 4" descr="ALU-Foil-Mat - afb. 5">
          <a:extLst>
            <a:ext uri="{FF2B5EF4-FFF2-40B4-BE49-F238E27FC236}">
              <a16:creationId xmlns:a16="http://schemas.microsoft.com/office/drawing/2014/main" id="{2E886F8E-41DB-458A-BE93-5F12FAF545E6}"/>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7705725" y="36957000"/>
          <a:ext cx="3059089" cy="1466850"/>
        </a:xfrm>
        <a:prstGeom prst="rect">
          <a:avLst/>
        </a:prstGeom>
        <a:noFill/>
      </xdr:spPr>
    </xdr:pic>
    <xdr:clientData/>
  </xdr:twoCellAnchor>
  <xdr:twoCellAnchor editAs="oneCell">
    <xdr:from>
      <xdr:col>15</xdr:col>
      <xdr:colOff>110228</xdr:colOff>
      <xdr:row>167</xdr:row>
      <xdr:rowOff>0</xdr:rowOff>
    </xdr:from>
    <xdr:to>
      <xdr:col>19</xdr:col>
      <xdr:colOff>76201</xdr:colOff>
      <xdr:row>180</xdr:row>
      <xdr:rowOff>1671</xdr:rowOff>
    </xdr:to>
    <xdr:pic>
      <xdr:nvPicPr>
        <xdr:cNvPr id="16" name="Imagine 15">
          <a:extLst>
            <a:ext uri="{FF2B5EF4-FFF2-40B4-BE49-F238E27FC236}">
              <a16:creationId xmlns:a16="http://schemas.microsoft.com/office/drawing/2014/main" id="{2582E661-D8D9-499B-9026-DA4D831931C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768703" y="36271200"/>
          <a:ext cx="2832998" cy="2119396"/>
        </a:xfrm>
        <a:prstGeom prst="rect">
          <a:avLst/>
        </a:prstGeom>
      </xdr:spPr>
    </xdr:pic>
    <xdr:clientData/>
  </xdr:twoCellAnchor>
  <xdr:oneCellAnchor>
    <xdr:from>
      <xdr:col>16</xdr:col>
      <xdr:colOff>180975</xdr:colOff>
      <xdr:row>21</xdr:row>
      <xdr:rowOff>57150</xdr:rowOff>
    </xdr:from>
    <xdr:ext cx="1394356" cy="1228726"/>
    <xdr:pic>
      <xdr:nvPicPr>
        <xdr:cNvPr id="17" name="Picture 27" descr="Imagini pentru magnum underfloor heating mat">
          <a:extLst>
            <a:ext uri="{FF2B5EF4-FFF2-40B4-BE49-F238E27FC236}">
              <a16:creationId xmlns:a16="http://schemas.microsoft.com/office/drawing/2014/main" id="{5F4C700A-DBB8-4CC6-A203-4DA5CE58FCD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1572875" y="7229475"/>
          <a:ext cx="1394356" cy="12287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66674</xdr:colOff>
      <xdr:row>179</xdr:row>
      <xdr:rowOff>15875</xdr:rowOff>
    </xdr:from>
    <xdr:to>
      <xdr:col>14</xdr:col>
      <xdr:colOff>736599</xdr:colOff>
      <xdr:row>199</xdr:row>
      <xdr:rowOff>76363</xdr:rowOff>
    </xdr:to>
    <xdr:pic>
      <xdr:nvPicPr>
        <xdr:cNvPr id="19" name="Imagine 18">
          <a:extLst>
            <a:ext uri="{FF2B5EF4-FFF2-40B4-BE49-F238E27FC236}">
              <a16:creationId xmlns:a16="http://schemas.microsoft.com/office/drawing/2014/main" id="{EE1858B3-259E-48DB-9717-D17AA766BE75}"/>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715249" y="38725475"/>
          <a:ext cx="3133725" cy="2917988"/>
        </a:xfrm>
        <a:prstGeom prst="rect">
          <a:avLst/>
        </a:prstGeom>
      </xdr:spPr>
    </xdr:pic>
    <xdr:clientData/>
  </xdr:twoCellAnchor>
  <xdr:twoCellAnchor editAs="oneCell">
    <xdr:from>
      <xdr:col>19</xdr:col>
      <xdr:colOff>438150</xdr:colOff>
      <xdr:row>12</xdr:row>
      <xdr:rowOff>400050</xdr:rowOff>
    </xdr:from>
    <xdr:to>
      <xdr:col>22</xdr:col>
      <xdr:colOff>66675</xdr:colOff>
      <xdr:row>15</xdr:row>
      <xdr:rowOff>121633</xdr:rowOff>
    </xdr:to>
    <xdr:pic>
      <xdr:nvPicPr>
        <xdr:cNvPr id="21" name="Imagine 20">
          <a:extLst>
            <a:ext uri="{FF2B5EF4-FFF2-40B4-BE49-F238E27FC236}">
              <a16:creationId xmlns:a16="http://schemas.microsoft.com/office/drawing/2014/main" id="{C57F53ED-8A5F-4E84-A5D4-D91BA8A55212}"/>
            </a:ext>
          </a:extLst>
        </xdr:cNvPr>
        <xdr:cNvPicPr>
          <a:picLocks noChangeAspect="1"/>
        </xdr:cNvPicPr>
      </xdr:nvPicPr>
      <xdr:blipFill>
        <a:blip xmlns:r="http://schemas.openxmlformats.org/officeDocument/2006/relationships" r:embed="rId15"/>
        <a:stretch>
          <a:fillRect/>
        </a:stretch>
      </xdr:blipFill>
      <xdr:spPr>
        <a:xfrm>
          <a:off x="13963650" y="4124325"/>
          <a:ext cx="1790700" cy="1236058"/>
        </a:xfrm>
        <a:prstGeom prst="rect">
          <a:avLst/>
        </a:prstGeom>
      </xdr:spPr>
    </xdr:pic>
    <xdr:clientData/>
  </xdr:twoCellAnchor>
  <xdr:twoCellAnchor editAs="oneCell">
    <xdr:from>
      <xdr:col>20</xdr:col>
      <xdr:colOff>38100</xdr:colOff>
      <xdr:row>16</xdr:row>
      <xdr:rowOff>171450</xdr:rowOff>
    </xdr:from>
    <xdr:to>
      <xdr:col>22</xdr:col>
      <xdr:colOff>247650</xdr:colOff>
      <xdr:row>19</xdr:row>
      <xdr:rowOff>200025</xdr:rowOff>
    </xdr:to>
    <xdr:pic>
      <xdr:nvPicPr>
        <xdr:cNvPr id="22" name="Imagine 21">
          <a:extLst>
            <a:ext uri="{FF2B5EF4-FFF2-40B4-BE49-F238E27FC236}">
              <a16:creationId xmlns:a16="http://schemas.microsoft.com/office/drawing/2014/main" id="{307CCCCA-C797-455C-A03F-CB4CB3A5B90F}"/>
            </a:ext>
          </a:extLst>
        </xdr:cNvPr>
        <xdr:cNvPicPr>
          <a:picLocks noChangeAspect="1"/>
        </xdr:cNvPicPr>
      </xdr:nvPicPr>
      <xdr:blipFill>
        <a:blip xmlns:r="http://schemas.openxmlformats.org/officeDocument/2006/relationships" r:embed="rId16"/>
        <a:stretch>
          <a:fillRect/>
        </a:stretch>
      </xdr:blipFill>
      <xdr:spPr>
        <a:xfrm>
          <a:off x="14077950" y="6515100"/>
          <a:ext cx="1552575" cy="830090"/>
        </a:xfrm>
        <a:prstGeom prst="rect">
          <a:avLst/>
        </a:prstGeom>
      </xdr:spPr>
    </xdr:pic>
    <xdr:clientData/>
  </xdr:twoCellAnchor>
  <xdr:twoCellAnchor editAs="oneCell">
    <xdr:from>
      <xdr:col>12</xdr:col>
      <xdr:colOff>47625</xdr:colOff>
      <xdr:row>10</xdr:row>
      <xdr:rowOff>295275</xdr:rowOff>
    </xdr:from>
    <xdr:to>
      <xdr:col>13</xdr:col>
      <xdr:colOff>200024</xdr:colOff>
      <xdr:row>12</xdr:row>
      <xdr:rowOff>609599</xdr:rowOff>
    </xdr:to>
    <xdr:pic>
      <xdr:nvPicPr>
        <xdr:cNvPr id="23" name="Imagine 22">
          <a:extLst>
            <a:ext uri="{FF2B5EF4-FFF2-40B4-BE49-F238E27FC236}">
              <a16:creationId xmlns:a16="http://schemas.microsoft.com/office/drawing/2014/main" id="{7021F2A4-6860-4F81-AF15-7350A025B91F}"/>
            </a:ext>
          </a:extLst>
        </xdr:cNvPr>
        <xdr:cNvPicPr>
          <a:picLocks noChangeAspect="1"/>
        </xdr:cNvPicPr>
      </xdr:nvPicPr>
      <xdr:blipFill>
        <a:blip xmlns:r="http://schemas.openxmlformats.org/officeDocument/2006/relationships" r:embed="rId17"/>
        <a:stretch>
          <a:fillRect/>
        </a:stretch>
      </xdr:blipFill>
      <xdr:spPr>
        <a:xfrm>
          <a:off x="8658225" y="3524250"/>
          <a:ext cx="761999" cy="809624"/>
        </a:xfrm>
        <a:prstGeom prst="rect">
          <a:avLst/>
        </a:prstGeom>
      </xdr:spPr>
    </xdr:pic>
    <xdr:clientData/>
  </xdr:twoCellAnchor>
  <xdr:twoCellAnchor editAs="oneCell">
    <xdr:from>
      <xdr:col>13</xdr:col>
      <xdr:colOff>111125</xdr:colOff>
      <xdr:row>85</xdr:row>
      <xdr:rowOff>85725</xdr:rowOff>
    </xdr:from>
    <xdr:to>
      <xdr:col>15</xdr:col>
      <xdr:colOff>47625</xdr:colOff>
      <xdr:row>88</xdr:row>
      <xdr:rowOff>123825</xdr:rowOff>
    </xdr:to>
    <xdr:pic>
      <xdr:nvPicPr>
        <xdr:cNvPr id="29" name="Picture 24">
          <a:extLst>
            <a:ext uri="{FF2B5EF4-FFF2-40B4-BE49-F238E27FC236}">
              <a16:creationId xmlns:a16="http://schemas.microsoft.com/office/drawing/2014/main" id="{2A560657-A190-4374-9139-2667E3FAEF3C}"/>
            </a:ext>
          </a:extLst>
        </xdr:cNvPr>
        <xdr:cNvPicPr>
          <a:picLocks noChangeAspect="1" noChangeArrowheads="1"/>
        </xdr:cNvPicPr>
      </xdr:nvPicPr>
      <xdr:blipFill>
        <a:blip xmlns:r="http://schemas.openxmlformats.org/officeDocument/2006/relationships" r:embed="rId18"/>
        <a:srcRect/>
        <a:stretch>
          <a:fillRect/>
        </a:stretch>
      </xdr:blipFill>
      <xdr:spPr bwMode="auto">
        <a:xfrm>
          <a:off x="9759950" y="21450300"/>
          <a:ext cx="1441450" cy="723900"/>
        </a:xfrm>
        <a:prstGeom prst="rect">
          <a:avLst/>
        </a:prstGeom>
        <a:noFill/>
      </xdr:spPr>
    </xdr:pic>
    <xdr:clientData/>
  </xdr:twoCellAnchor>
  <xdr:twoCellAnchor editAs="oneCell">
    <xdr:from>
      <xdr:col>13</xdr:col>
      <xdr:colOff>314325</xdr:colOff>
      <xdr:row>89</xdr:row>
      <xdr:rowOff>187325</xdr:rowOff>
    </xdr:from>
    <xdr:to>
      <xdr:col>15</xdr:col>
      <xdr:colOff>358775</xdr:colOff>
      <xdr:row>93</xdr:row>
      <xdr:rowOff>85725</xdr:rowOff>
    </xdr:to>
    <xdr:pic>
      <xdr:nvPicPr>
        <xdr:cNvPr id="30" name="Picture 5">
          <a:extLst>
            <a:ext uri="{FF2B5EF4-FFF2-40B4-BE49-F238E27FC236}">
              <a16:creationId xmlns:a16="http://schemas.microsoft.com/office/drawing/2014/main" id="{4FC1A93B-F82B-4A2F-B2CA-65EA6AFD55E6}"/>
            </a:ext>
          </a:extLst>
        </xdr:cNvPr>
        <xdr:cNvPicPr>
          <a:picLocks noChangeAspect="1" noChangeArrowheads="1"/>
        </xdr:cNvPicPr>
      </xdr:nvPicPr>
      <xdr:blipFill>
        <a:blip xmlns:r="http://schemas.openxmlformats.org/officeDocument/2006/relationships" r:embed="rId19"/>
        <a:srcRect/>
        <a:stretch>
          <a:fillRect/>
        </a:stretch>
      </xdr:blipFill>
      <xdr:spPr bwMode="auto">
        <a:xfrm>
          <a:off x="9963150" y="22466300"/>
          <a:ext cx="1549400" cy="812800"/>
        </a:xfrm>
        <a:prstGeom prst="rect">
          <a:avLst/>
        </a:prstGeom>
        <a:noFill/>
      </xdr:spPr>
    </xdr:pic>
    <xdr:clientData/>
  </xdr:twoCellAnchor>
  <xdr:twoCellAnchor editAs="oneCell">
    <xdr:from>
      <xdr:col>13</xdr:col>
      <xdr:colOff>0</xdr:colOff>
      <xdr:row>29</xdr:row>
      <xdr:rowOff>0</xdr:rowOff>
    </xdr:from>
    <xdr:to>
      <xdr:col>14</xdr:col>
      <xdr:colOff>771722</xdr:colOff>
      <xdr:row>31</xdr:row>
      <xdr:rowOff>171538</xdr:rowOff>
    </xdr:to>
    <xdr:pic>
      <xdr:nvPicPr>
        <xdr:cNvPr id="26" name="Imagine 25">
          <a:extLst>
            <a:ext uri="{FF2B5EF4-FFF2-40B4-BE49-F238E27FC236}">
              <a16:creationId xmlns:a16="http://schemas.microsoft.com/office/drawing/2014/main" id="{18B14002-78B5-0B05-3430-4227FD3B989F}"/>
            </a:ext>
          </a:extLst>
        </xdr:cNvPr>
        <xdr:cNvPicPr>
          <a:picLocks noChangeAspect="1"/>
        </xdr:cNvPicPr>
      </xdr:nvPicPr>
      <xdr:blipFill>
        <a:blip xmlns:r="http://schemas.openxmlformats.org/officeDocument/2006/relationships" r:embed="rId20"/>
        <a:stretch>
          <a:fillRect/>
        </a:stretch>
      </xdr:blipFill>
      <xdr:spPr>
        <a:xfrm>
          <a:off x="9220200" y="9001125"/>
          <a:ext cx="1409897" cy="628738"/>
        </a:xfrm>
        <a:prstGeom prst="rect">
          <a:avLst/>
        </a:prstGeom>
      </xdr:spPr>
    </xdr:pic>
    <xdr:clientData/>
  </xdr:twoCellAnchor>
  <xdr:twoCellAnchor editAs="oneCell">
    <xdr:from>
      <xdr:col>15</xdr:col>
      <xdr:colOff>628651</xdr:colOff>
      <xdr:row>27</xdr:row>
      <xdr:rowOff>38100</xdr:rowOff>
    </xdr:from>
    <xdr:to>
      <xdr:col>17</xdr:col>
      <xdr:colOff>447676</xdr:colOff>
      <xdr:row>30</xdr:row>
      <xdr:rowOff>140240</xdr:rowOff>
    </xdr:to>
    <xdr:pic>
      <xdr:nvPicPr>
        <xdr:cNvPr id="27" name="Imagine 26">
          <a:extLst>
            <a:ext uri="{FF2B5EF4-FFF2-40B4-BE49-F238E27FC236}">
              <a16:creationId xmlns:a16="http://schemas.microsoft.com/office/drawing/2014/main" id="{24EF7F73-DA78-4F2F-9093-4566EF3C7680}"/>
            </a:ext>
          </a:extLst>
        </xdr:cNvPr>
        <xdr:cNvPicPr>
          <a:picLocks noChangeAspect="1"/>
        </xdr:cNvPicPr>
      </xdr:nvPicPr>
      <xdr:blipFill>
        <a:blip xmlns:r="http://schemas.openxmlformats.org/officeDocument/2006/relationships" r:embed="rId21"/>
        <a:stretch>
          <a:fillRect/>
        </a:stretch>
      </xdr:blipFill>
      <xdr:spPr>
        <a:xfrm rot="21392666">
          <a:off x="11287126" y="8582025"/>
          <a:ext cx="1543050" cy="787940"/>
        </a:xfrm>
        <a:prstGeom prst="rect">
          <a:avLst/>
        </a:prstGeom>
      </xdr:spPr>
    </xdr:pic>
    <xdr:clientData/>
  </xdr:twoCellAnchor>
  <xdr:twoCellAnchor editAs="oneCell">
    <xdr:from>
      <xdr:col>13</xdr:col>
      <xdr:colOff>542925</xdr:colOff>
      <xdr:row>10</xdr:row>
      <xdr:rowOff>314325</xdr:rowOff>
    </xdr:from>
    <xdr:to>
      <xdr:col>14</xdr:col>
      <xdr:colOff>781172</xdr:colOff>
      <xdr:row>12</xdr:row>
      <xdr:rowOff>676395</xdr:rowOff>
    </xdr:to>
    <xdr:pic>
      <xdr:nvPicPr>
        <xdr:cNvPr id="31" name="Imagine 30">
          <a:extLst>
            <a:ext uri="{FF2B5EF4-FFF2-40B4-BE49-F238E27FC236}">
              <a16:creationId xmlns:a16="http://schemas.microsoft.com/office/drawing/2014/main" id="{627A0CEE-60E8-400F-893A-EB43EC2B87D2}"/>
            </a:ext>
          </a:extLst>
        </xdr:cNvPr>
        <xdr:cNvPicPr>
          <a:picLocks noChangeAspect="1"/>
        </xdr:cNvPicPr>
      </xdr:nvPicPr>
      <xdr:blipFill>
        <a:blip xmlns:r="http://schemas.openxmlformats.org/officeDocument/2006/relationships" r:embed="rId22"/>
        <a:stretch>
          <a:fillRect/>
        </a:stretch>
      </xdr:blipFill>
      <xdr:spPr>
        <a:xfrm>
          <a:off x="9763125" y="3543300"/>
          <a:ext cx="876422" cy="857370"/>
        </a:xfrm>
        <a:prstGeom prst="rect">
          <a:avLst/>
        </a:prstGeom>
      </xdr:spPr>
    </xdr:pic>
    <xdr:clientData/>
  </xdr:twoCellAnchor>
  <xdr:twoCellAnchor editAs="oneCell">
    <xdr:from>
      <xdr:col>15</xdr:col>
      <xdr:colOff>209550</xdr:colOff>
      <xdr:row>11</xdr:row>
      <xdr:rowOff>9525</xdr:rowOff>
    </xdr:from>
    <xdr:to>
      <xdr:col>16</xdr:col>
      <xdr:colOff>314442</xdr:colOff>
      <xdr:row>12</xdr:row>
      <xdr:rowOff>733546</xdr:rowOff>
    </xdr:to>
    <xdr:pic>
      <xdr:nvPicPr>
        <xdr:cNvPr id="33" name="Imagine 32">
          <a:extLst>
            <a:ext uri="{FF2B5EF4-FFF2-40B4-BE49-F238E27FC236}">
              <a16:creationId xmlns:a16="http://schemas.microsoft.com/office/drawing/2014/main" id="{519BC21F-570A-4274-8C05-1FDA0957B2DC}"/>
            </a:ext>
          </a:extLst>
        </xdr:cNvPr>
        <xdr:cNvPicPr>
          <a:picLocks noChangeAspect="1"/>
        </xdr:cNvPicPr>
      </xdr:nvPicPr>
      <xdr:blipFill>
        <a:blip xmlns:r="http://schemas.openxmlformats.org/officeDocument/2006/relationships" r:embed="rId23"/>
        <a:stretch>
          <a:fillRect/>
        </a:stretch>
      </xdr:blipFill>
      <xdr:spPr>
        <a:xfrm>
          <a:off x="10868025" y="3590925"/>
          <a:ext cx="838317" cy="866896"/>
        </a:xfrm>
        <a:prstGeom prst="rect">
          <a:avLst/>
        </a:prstGeom>
      </xdr:spPr>
    </xdr:pic>
    <xdr:clientData/>
  </xdr:twoCellAnchor>
  <xdr:twoCellAnchor editAs="oneCell">
    <xdr:from>
      <xdr:col>16</xdr:col>
      <xdr:colOff>381000</xdr:colOff>
      <xdr:row>12</xdr:row>
      <xdr:rowOff>114300</xdr:rowOff>
    </xdr:from>
    <xdr:to>
      <xdr:col>16</xdr:col>
      <xdr:colOff>939800</xdr:colOff>
      <xdr:row>12</xdr:row>
      <xdr:rowOff>711507</xdr:rowOff>
    </xdr:to>
    <xdr:pic>
      <xdr:nvPicPr>
        <xdr:cNvPr id="3" name="Picture 2">
          <a:extLst>
            <a:ext uri="{FF2B5EF4-FFF2-40B4-BE49-F238E27FC236}">
              <a16:creationId xmlns:a16="http://schemas.microsoft.com/office/drawing/2014/main" id="{B401B932-994E-4E85-9850-A5B4D57D64CA}"/>
            </a:ext>
          </a:extLst>
        </xdr:cNvPr>
        <xdr:cNvPicPr>
          <a:picLocks noChangeAspect="1"/>
        </xdr:cNvPicPr>
      </xdr:nvPicPr>
      <xdr:blipFill>
        <a:blip xmlns:r="http://schemas.openxmlformats.org/officeDocument/2006/relationships" r:embed="rId24"/>
        <a:stretch>
          <a:fillRect/>
        </a:stretch>
      </xdr:blipFill>
      <xdr:spPr>
        <a:xfrm>
          <a:off x="12306300" y="3781425"/>
          <a:ext cx="558800" cy="597207"/>
        </a:xfrm>
        <a:prstGeom prst="rect">
          <a:avLst/>
        </a:prstGeom>
      </xdr:spPr>
    </xdr:pic>
    <xdr:clientData/>
  </xdr:twoCellAnchor>
  <xdr:twoCellAnchor editAs="oneCell">
    <xdr:from>
      <xdr:col>20</xdr:col>
      <xdr:colOff>0</xdr:colOff>
      <xdr:row>26</xdr:row>
      <xdr:rowOff>0</xdr:rowOff>
    </xdr:from>
    <xdr:to>
      <xdr:col>21</xdr:col>
      <xdr:colOff>28573</xdr:colOff>
      <xdr:row>28</xdr:row>
      <xdr:rowOff>139845</xdr:rowOff>
    </xdr:to>
    <xdr:pic>
      <xdr:nvPicPr>
        <xdr:cNvPr id="4" name="Picture 3">
          <a:extLst>
            <a:ext uri="{FF2B5EF4-FFF2-40B4-BE49-F238E27FC236}">
              <a16:creationId xmlns:a16="http://schemas.microsoft.com/office/drawing/2014/main" id="{81550B45-4C9F-47BD-BAE0-98C8D427E2CE}"/>
            </a:ext>
          </a:extLst>
        </xdr:cNvPr>
        <xdr:cNvPicPr>
          <a:picLocks noChangeAspect="1"/>
        </xdr:cNvPicPr>
      </xdr:nvPicPr>
      <xdr:blipFill>
        <a:blip xmlns:r="http://schemas.openxmlformats.org/officeDocument/2006/relationships" r:embed="rId25"/>
        <a:stretch>
          <a:fillRect/>
        </a:stretch>
      </xdr:blipFill>
      <xdr:spPr>
        <a:xfrm>
          <a:off x="15030450" y="7848600"/>
          <a:ext cx="806448" cy="597045"/>
        </a:xfrm>
        <a:prstGeom prst="rect">
          <a:avLst/>
        </a:prstGeom>
      </xdr:spPr>
    </xdr:pic>
    <xdr:clientData/>
  </xdr:twoCellAnchor>
  <xdr:twoCellAnchor editAs="oneCell">
    <xdr:from>
      <xdr:col>18</xdr:col>
      <xdr:colOff>171450</xdr:colOff>
      <xdr:row>10</xdr:row>
      <xdr:rowOff>292100</xdr:rowOff>
    </xdr:from>
    <xdr:to>
      <xdr:col>19</xdr:col>
      <xdr:colOff>782549</xdr:colOff>
      <xdr:row>12</xdr:row>
      <xdr:rowOff>685799</xdr:rowOff>
    </xdr:to>
    <xdr:pic>
      <xdr:nvPicPr>
        <xdr:cNvPr id="9" name="Picture 8">
          <a:extLst>
            <a:ext uri="{FF2B5EF4-FFF2-40B4-BE49-F238E27FC236}">
              <a16:creationId xmlns:a16="http://schemas.microsoft.com/office/drawing/2014/main" id="{BAF2BD99-DA17-B11F-7E65-F9F4C67A0CD1}"/>
            </a:ext>
          </a:extLst>
        </xdr:cNvPr>
        <xdr:cNvPicPr>
          <a:picLocks noChangeAspect="1"/>
        </xdr:cNvPicPr>
      </xdr:nvPicPr>
      <xdr:blipFill>
        <a:blip xmlns:r="http://schemas.openxmlformats.org/officeDocument/2006/relationships" r:embed="rId26"/>
        <a:stretch>
          <a:fillRect/>
        </a:stretch>
      </xdr:blipFill>
      <xdr:spPr>
        <a:xfrm>
          <a:off x="13696950" y="3463925"/>
          <a:ext cx="1249274" cy="888999"/>
        </a:xfrm>
        <a:prstGeom prst="rect">
          <a:avLst/>
        </a:prstGeom>
      </xdr:spPr>
    </xdr:pic>
    <xdr:clientData/>
  </xdr:twoCellAnchor>
  <xdr:twoCellAnchor editAs="oneCell">
    <xdr:from>
      <xdr:col>20</xdr:col>
      <xdr:colOff>152400</xdr:colOff>
      <xdr:row>7</xdr:row>
      <xdr:rowOff>25400</xdr:rowOff>
    </xdr:from>
    <xdr:to>
      <xdr:col>20</xdr:col>
      <xdr:colOff>598770</xdr:colOff>
      <xdr:row>9</xdr:row>
      <xdr:rowOff>158750</xdr:rowOff>
    </xdr:to>
    <xdr:pic>
      <xdr:nvPicPr>
        <xdr:cNvPr id="18" name="Picture 17">
          <a:extLst>
            <a:ext uri="{FF2B5EF4-FFF2-40B4-BE49-F238E27FC236}">
              <a16:creationId xmlns:a16="http://schemas.microsoft.com/office/drawing/2014/main" id="{4E76A1F4-45A2-18F1-53EF-62F116C91B0B}"/>
            </a:ext>
          </a:extLst>
        </xdr:cNvPr>
        <xdr:cNvPicPr>
          <a:picLocks noChangeAspect="1"/>
        </xdr:cNvPicPr>
      </xdr:nvPicPr>
      <xdr:blipFill>
        <a:blip xmlns:r="http://schemas.openxmlformats.org/officeDocument/2006/relationships" r:embed="rId27"/>
        <a:stretch>
          <a:fillRect/>
        </a:stretch>
      </xdr:blipFill>
      <xdr:spPr>
        <a:xfrm>
          <a:off x="15182850" y="2711450"/>
          <a:ext cx="449545" cy="441325"/>
        </a:xfrm>
        <a:prstGeom prst="rect">
          <a:avLst/>
        </a:prstGeom>
      </xdr:spPr>
    </xdr:pic>
    <xdr:clientData/>
  </xdr:twoCellAnchor>
  <xdr:twoCellAnchor editAs="oneCell">
    <xdr:from>
      <xdr:col>21</xdr:col>
      <xdr:colOff>47625</xdr:colOff>
      <xdr:row>10</xdr:row>
      <xdr:rowOff>28575</xdr:rowOff>
    </xdr:from>
    <xdr:to>
      <xdr:col>21</xdr:col>
      <xdr:colOff>488047</xdr:colOff>
      <xdr:row>12</xdr:row>
      <xdr:rowOff>9525</xdr:rowOff>
    </xdr:to>
    <xdr:pic>
      <xdr:nvPicPr>
        <xdr:cNvPr id="20" name="Picture 19">
          <a:extLst>
            <a:ext uri="{FF2B5EF4-FFF2-40B4-BE49-F238E27FC236}">
              <a16:creationId xmlns:a16="http://schemas.microsoft.com/office/drawing/2014/main" id="{86871333-1D4D-0FBC-48C7-DA434359FFDD}"/>
            </a:ext>
          </a:extLst>
        </xdr:cNvPr>
        <xdr:cNvPicPr>
          <a:picLocks noChangeAspect="1"/>
        </xdr:cNvPicPr>
      </xdr:nvPicPr>
      <xdr:blipFill>
        <a:blip xmlns:r="http://schemas.openxmlformats.org/officeDocument/2006/relationships" r:embed="rId28"/>
        <a:stretch>
          <a:fillRect/>
        </a:stretch>
      </xdr:blipFill>
      <xdr:spPr>
        <a:xfrm>
          <a:off x="15849600" y="3200400"/>
          <a:ext cx="437247" cy="473075"/>
        </a:xfrm>
        <a:prstGeom prst="rect">
          <a:avLst/>
        </a:prstGeom>
      </xdr:spPr>
    </xdr:pic>
    <xdr:clientData/>
  </xdr:twoCellAnchor>
  <xdr:twoCellAnchor editAs="oneCell">
    <xdr:from>
      <xdr:col>21</xdr:col>
      <xdr:colOff>476250</xdr:colOff>
      <xdr:row>7</xdr:row>
      <xdr:rowOff>57464</xdr:rowOff>
    </xdr:from>
    <xdr:to>
      <xdr:col>22</xdr:col>
      <xdr:colOff>323850</xdr:colOff>
      <xdr:row>11</xdr:row>
      <xdr:rowOff>130362</xdr:rowOff>
    </xdr:to>
    <xdr:pic>
      <xdr:nvPicPr>
        <xdr:cNvPr id="24" name="Picture 23">
          <a:extLst>
            <a:ext uri="{FF2B5EF4-FFF2-40B4-BE49-F238E27FC236}">
              <a16:creationId xmlns:a16="http://schemas.microsoft.com/office/drawing/2014/main" id="{AD838163-8791-D05A-6C2E-90EB578DEB78}"/>
            </a:ext>
          </a:extLst>
        </xdr:cNvPr>
        <xdr:cNvPicPr>
          <a:picLocks noChangeAspect="1"/>
        </xdr:cNvPicPr>
      </xdr:nvPicPr>
      <xdr:blipFill>
        <a:blip xmlns:r="http://schemas.openxmlformats.org/officeDocument/2006/relationships" r:embed="rId29"/>
        <a:stretch>
          <a:fillRect/>
        </a:stretch>
      </xdr:blipFill>
      <xdr:spPr>
        <a:xfrm>
          <a:off x="16278225" y="2743514"/>
          <a:ext cx="485775" cy="911098"/>
        </a:xfrm>
        <a:prstGeom prst="rect">
          <a:avLst/>
        </a:prstGeom>
      </xdr:spPr>
    </xdr:pic>
    <xdr:clientData/>
  </xdr:twoCellAnchor>
  <xdr:twoCellAnchor editAs="oneCell">
    <xdr:from>
      <xdr:col>7</xdr:col>
      <xdr:colOff>114300</xdr:colOff>
      <xdr:row>11</xdr:row>
      <xdr:rowOff>9525</xdr:rowOff>
    </xdr:from>
    <xdr:to>
      <xdr:col>11</xdr:col>
      <xdr:colOff>543058</xdr:colOff>
      <xdr:row>12</xdr:row>
      <xdr:rowOff>838336</xdr:rowOff>
    </xdr:to>
    <xdr:pic>
      <xdr:nvPicPr>
        <xdr:cNvPr id="25" name="Picture 24">
          <a:extLst>
            <a:ext uri="{FF2B5EF4-FFF2-40B4-BE49-F238E27FC236}">
              <a16:creationId xmlns:a16="http://schemas.microsoft.com/office/drawing/2014/main" id="{6687774C-62E5-3CD4-E56B-AAE2F0DC8E77}"/>
            </a:ext>
          </a:extLst>
        </xdr:cNvPr>
        <xdr:cNvPicPr>
          <a:picLocks noChangeAspect="1"/>
        </xdr:cNvPicPr>
      </xdr:nvPicPr>
      <xdr:blipFill>
        <a:blip xmlns:r="http://schemas.openxmlformats.org/officeDocument/2006/relationships" r:embed="rId30"/>
        <a:stretch>
          <a:fillRect/>
        </a:stretch>
      </xdr:blipFill>
      <xdr:spPr>
        <a:xfrm>
          <a:off x="7962900" y="3533775"/>
          <a:ext cx="949458" cy="971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251458</xdr:colOff>
      <xdr:row>11</xdr:row>
      <xdr:rowOff>85725</xdr:rowOff>
    </xdr:from>
    <xdr:ext cx="1291591" cy="1138168"/>
    <xdr:pic>
      <xdr:nvPicPr>
        <xdr:cNvPr id="2" name="Picture 27" descr="Imagini pentru magnum underfloor heating mat">
          <a:extLst>
            <a:ext uri="{FF2B5EF4-FFF2-40B4-BE49-F238E27FC236}">
              <a16:creationId xmlns:a16="http://schemas.microsoft.com/office/drawing/2014/main" id="{DD125D23-2D3D-4C50-BD93-D81D514CA3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58" y="4029075"/>
          <a:ext cx="1291591" cy="11381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17</xdr:col>
      <xdr:colOff>200025</xdr:colOff>
      <xdr:row>9</xdr:row>
      <xdr:rowOff>158750</xdr:rowOff>
    </xdr:from>
    <xdr:to>
      <xdr:col>18</xdr:col>
      <xdr:colOff>630554</xdr:colOff>
      <xdr:row>11</xdr:row>
      <xdr:rowOff>457199</xdr:rowOff>
    </xdr:to>
    <xdr:pic>
      <xdr:nvPicPr>
        <xdr:cNvPr id="3" name="Picture 2" descr="MAGNUM Remote Control">
          <a:extLst>
            <a:ext uri="{FF2B5EF4-FFF2-40B4-BE49-F238E27FC236}">
              <a16:creationId xmlns:a16="http://schemas.microsoft.com/office/drawing/2014/main" id="{11DCF01C-82FB-4152-A744-563D98F510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077950" y="3216275"/>
          <a:ext cx="1068704" cy="993774"/>
        </a:xfrm>
        <a:prstGeom prst="rect">
          <a:avLst/>
        </a:prstGeom>
        <a:noFill/>
      </xdr:spPr>
    </xdr:pic>
    <xdr:clientData/>
  </xdr:twoCellAnchor>
  <xdr:twoCellAnchor editAs="oneCell">
    <xdr:from>
      <xdr:col>2</xdr:col>
      <xdr:colOff>638174</xdr:colOff>
      <xdr:row>10</xdr:row>
      <xdr:rowOff>352425</xdr:rowOff>
    </xdr:from>
    <xdr:to>
      <xdr:col>2</xdr:col>
      <xdr:colOff>2038350</xdr:colOff>
      <xdr:row>14</xdr:row>
      <xdr:rowOff>50510</xdr:rowOff>
    </xdr:to>
    <xdr:pic>
      <xdr:nvPicPr>
        <xdr:cNvPr id="6" name="Imagine 5">
          <a:extLst>
            <a:ext uri="{FF2B5EF4-FFF2-40B4-BE49-F238E27FC236}">
              <a16:creationId xmlns:a16="http://schemas.microsoft.com/office/drawing/2014/main" id="{6F3ECFBE-769F-44AA-8C20-9F96DB0967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1149" y="3800475"/>
          <a:ext cx="1400176" cy="1272885"/>
        </a:xfrm>
        <a:prstGeom prst="rect">
          <a:avLst/>
        </a:prstGeom>
      </xdr:spPr>
    </xdr:pic>
    <xdr:clientData/>
  </xdr:twoCellAnchor>
  <xdr:twoCellAnchor editAs="oneCell">
    <xdr:from>
      <xdr:col>0</xdr:col>
      <xdr:colOff>104775</xdr:colOff>
      <xdr:row>0</xdr:row>
      <xdr:rowOff>114300</xdr:rowOff>
    </xdr:from>
    <xdr:to>
      <xdr:col>2</xdr:col>
      <xdr:colOff>685800</xdr:colOff>
      <xdr:row>0</xdr:row>
      <xdr:rowOff>1543050</xdr:rowOff>
    </xdr:to>
    <xdr:pic>
      <xdr:nvPicPr>
        <xdr:cNvPr id="8" name="Imagine 7">
          <a:extLst>
            <a:ext uri="{FF2B5EF4-FFF2-40B4-BE49-F238E27FC236}">
              <a16:creationId xmlns:a16="http://schemas.microsoft.com/office/drawing/2014/main" id="{FB340E16-114E-47A2-BF58-8C039DB6C6E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775" y="114300"/>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2428875</xdr:colOff>
      <xdr:row>59</xdr:row>
      <xdr:rowOff>285751</xdr:rowOff>
    </xdr:from>
    <xdr:to>
      <xdr:col>6</xdr:col>
      <xdr:colOff>244475</xdr:colOff>
      <xdr:row>76</xdr:row>
      <xdr:rowOff>95887</xdr:rowOff>
    </xdr:to>
    <xdr:pic>
      <xdr:nvPicPr>
        <xdr:cNvPr id="9" name="Imagine 8">
          <a:extLst>
            <a:ext uri="{FF2B5EF4-FFF2-40B4-BE49-F238E27FC236}">
              <a16:creationId xmlns:a16="http://schemas.microsoft.com/office/drawing/2014/main" id="{262629A4-F486-41D6-AF50-B871A37B150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71850" y="18059401"/>
          <a:ext cx="3362325" cy="3266441"/>
        </a:xfrm>
        <a:prstGeom prst="rect">
          <a:avLst/>
        </a:prstGeom>
      </xdr:spPr>
    </xdr:pic>
    <xdr:clientData/>
  </xdr:twoCellAnchor>
  <xdr:twoCellAnchor editAs="oneCell">
    <xdr:from>
      <xdr:col>4</xdr:col>
      <xdr:colOff>57152</xdr:colOff>
      <xdr:row>10</xdr:row>
      <xdr:rowOff>333377</xdr:rowOff>
    </xdr:from>
    <xdr:to>
      <xdr:col>5</xdr:col>
      <xdr:colOff>628649</xdr:colOff>
      <xdr:row>13</xdr:row>
      <xdr:rowOff>19617</xdr:rowOff>
    </xdr:to>
    <xdr:pic>
      <xdr:nvPicPr>
        <xdr:cNvPr id="14" name="Imagine 13">
          <a:extLst>
            <a:ext uri="{FF2B5EF4-FFF2-40B4-BE49-F238E27FC236}">
              <a16:creationId xmlns:a16="http://schemas.microsoft.com/office/drawing/2014/main" id="{525CAC42-C315-4928-96A4-7CC5DE953D2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10177" y="3781427"/>
          <a:ext cx="1009647" cy="1027360"/>
        </a:xfrm>
        <a:prstGeom prst="rect">
          <a:avLst/>
        </a:prstGeom>
      </xdr:spPr>
    </xdr:pic>
    <xdr:clientData/>
  </xdr:twoCellAnchor>
  <xdr:twoCellAnchor editAs="oneCell">
    <xdr:from>
      <xdr:col>12</xdr:col>
      <xdr:colOff>276225</xdr:colOff>
      <xdr:row>10</xdr:row>
      <xdr:rowOff>57150</xdr:rowOff>
    </xdr:from>
    <xdr:to>
      <xdr:col>13</xdr:col>
      <xdr:colOff>514349</xdr:colOff>
      <xdr:row>12</xdr:row>
      <xdr:rowOff>20954</xdr:rowOff>
    </xdr:to>
    <xdr:pic>
      <xdr:nvPicPr>
        <xdr:cNvPr id="16" name="Imagine 15">
          <a:extLst>
            <a:ext uri="{FF2B5EF4-FFF2-40B4-BE49-F238E27FC236}">
              <a16:creationId xmlns:a16="http://schemas.microsoft.com/office/drawing/2014/main" id="{B0B0D212-690B-48ED-9686-1E184FE60DE7}"/>
            </a:ext>
          </a:extLst>
        </xdr:cNvPr>
        <xdr:cNvPicPr>
          <a:picLocks noChangeAspect="1"/>
        </xdr:cNvPicPr>
      </xdr:nvPicPr>
      <xdr:blipFill>
        <a:blip xmlns:r="http://schemas.openxmlformats.org/officeDocument/2006/relationships" r:embed="rId7"/>
        <a:stretch>
          <a:fillRect/>
        </a:stretch>
      </xdr:blipFill>
      <xdr:spPr>
        <a:xfrm>
          <a:off x="10648950" y="3505200"/>
          <a:ext cx="761999" cy="809624"/>
        </a:xfrm>
        <a:prstGeom prst="rect">
          <a:avLst/>
        </a:prstGeom>
      </xdr:spPr>
    </xdr:pic>
    <xdr:clientData/>
  </xdr:twoCellAnchor>
  <xdr:twoCellAnchor editAs="oneCell">
    <xdr:from>
      <xdr:col>9</xdr:col>
      <xdr:colOff>428625</xdr:colOff>
      <xdr:row>10</xdr:row>
      <xdr:rowOff>28575</xdr:rowOff>
    </xdr:from>
    <xdr:to>
      <xdr:col>10</xdr:col>
      <xdr:colOff>398267</xdr:colOff>
      <xdr:row>12</xdr:row>
      <xdr:rowOff>17265</xdr:rowOff>
    </xdr:to>
    <xdr:pic>
      <xdr:nvPicPr>
        <xdr:cNvPr id="11" name="Imagine 10">
          <a:extLst>
            <a:ext uri="{FF2B5EF4-FFF2-40B4-BE49-F238E27FC236}">
              <a16:creationId xmlns:a16="http://schemas.microsoft.com/office/drawing/2014/main" id="{6F76982B-582F-422D-8579-1937C51748EA}"/>
            </a:ext>
          </a:extLst>
        </xdr:cNvPr>
        <xdr:cNvPicPr>
          <a:picLocks noChangeAspect="1"/>
        </xdr:cNvPicPr>
      </xdr:nvPicPr>
      <xdr:blipFill>
        <a:blip xmlns:r="http://schemas.openxmlformats.org/officeDocument/2006/relationships" r:embed="rId8"/>
        <a:stretch>
          <a:fillRect/>
        </a:stretch>
      </xdr:blipFill>
      <xdr:spPr>
        <a:xfrm>
          <a:off x="8562975" y="3476625"/>
          <a:ext cx="876422" cy="857370"/>
        </a:xfrm>
        <a:prstGeom prst="rect">
          <a:avLst/>
        </a:prstGeom>
      </xdr:spPr>
    </xdr:pic>
    <xdr:clientData/>
  </xdr:twoCellAnchor>
  <xdr:twoCellAnchor editAs="oneCell">
    <xdr:from>
      <xdr:col>5</xdr:col>
      <xdr:colOff>609600</xdr:colOff>
      <xdr:row>11</xdr:row>
      <xdr:rowOff>123825</xdr:rowOff>
    </xdr:from>
    <xdr:to>
      <xdr:col>6</xdr:col>
      <xdr:colOff>609717</xdr:colOff>
      <xdr:row>13</xdr:row>
      <xdr:rowOff>121</xdr:rowOff>
    </xdr:to>
    <xdr:pic>
      <xdr:nvPicPr>
        <xdr:cNvPr id="12" name="Imagine 11">
          <a:extLst>
            <a:ext uri="{FF2B5EF4-FFF2-40B4-BE49-F238E27FC236}">
              <a16:creationId xmlns:a16="http://schemas.microsoft.com/office/drawing/2014/main" id="{F4E21F3B-383A-4339-9028-40CA02143509}"/>
            </a:ext>
          </a:extLst>
        </xdr:cNvPr>
        <xdr:cNvPicPr>
          <a:picLocks noChangeAspect="1"/>
        </xdr:cNvPicPr>
      </xdr:nvPicPr>
      <xdr:blipFill>
        <a:blip xmlns:r="http://schemas.openxmlformats.org/officeDocument/2006/relationships" r:embed="rId9"/>
        <a:stretch>
          <a:fillRect/>
        </a:stretch>
      </xdr:blipFill>
      <xdr:spPr>
        <a:xfrm>
          <a:off x="6200775" y="3933825"/>
          <a:ext cx="838317" cy="866896"/>
        </a:xfrm>
        <a:prstGeom prst="rect">
          <a:avLst/>
        </a:prstGeom>
      </xdr:spPr>
    </xdr:pic>
    <xdr:clientData/>
  </xdr:twoCellAnchor>
  <xdr:twoCellAnchor editAs="oneCell">
    <xdr:from>
      <xdr:col>14</xdr:col>
      <xdr:colOff>44450</xdr:colOff>
      <xdr:row>10</xdr:row>
      <xdr:rowOff>238125</xdr:rowOff>
    </xdr:from>
    <xdr:to>
      <xdr:col>14</xdr:col>
      <xdr:colOff>625570</xdr:colOff>
      <xdr:row>11</xdr:row>
      <xdr:rowOff>425450</xdr:rowOff>
    </xdr:to>
    <xdr:pic>
      <xdr:nvPicPr>
        <xdr:cNvPr id="13" name="Imagine 12">
          <a:extLst>
            <a:ext uri="{FF2B5EF4-FFF2-40B4-BE49-F238E27FC236}">
              <a16:creationId xmlns:a16="http://schemas.microsoft.com/office/drawing/2014/main" id="{6602E6B0-E16F-4DA3-BF3A-205A864EA43B}"/>
            </a:ext>
          </a:extLst>
        </xdr:cNvPr>
        <xdr:cNvPicPr>
          <a:picLocks noChangeAspect="1"/>
        </xdr:cNvPicPr>
      </xdr:nvPicPr>
      <xdr:blipFill>
        <a:blip xmlns:r="http://schemas.openxmlformats.org/officeDocument/2006/relationships" r:embed="rId10"/>
        <a:stretch>
          <a:fillRect/>
        </a:stretch>
      </xdr:blipFill>
      <xdr:spPr>
        <a:xfrm>
          <a:off x="12026900" y="3629025"/>
          <a:ext cx="581120" cy="552450"/>
        </a:xfrm>
        <a:prstGeom prst="rect">
          <a:avLst/>
        </a:prstGeom>
      </xdr:spPr>
    </xdr:pic>
    <xdr:clientData/>
  </xdr:twoCellAnchor>
  <xdr:twoCellAnchor editAs="oneCell">
    <xdr:from>
      <xdr:col>2</xdr:col>
      <xdr:colOff>2466976</xdr:colOff>
      <xdr:row>11</xdr:row>
      <xdr:rowOff>303179</xdr:rowOff>
    </xdr:from>
    <xdr:to>
      <xdr:col>3</xdr:col>
      <xdr:colOff>130176</xdr:colOff>
      <xdr:row>13</xdr:row>
      <xdr:rowOff>92899</xdr:rowOff>
    </xdr:to>
    <xdr:pic>
      <xdr:nvPicPr>
        <xdr:cNvPr id="18" name="Imagine 17">
          <a:extLst>
            <a:ext uri="{FF2B5EF4-FFF2-40B4-BE49-F238E27FC236}">
              <a16:creationId xmlns:a16="http://schemas.microsoft.com/office/drawing/2014/main" id="{00557291-C695-0482-A637-C2B84D3F7E50}"/>
            </a:ext>
          </a:extLst>
        </xdr:cNvPr>
        <xdr:cNvPicPr>
          <a:picLocks noChangeAspect="1"/>
        </xdr:cNvPicPr>
      </xdr:nvPicPr>
      <xdr:blipFill>
        <a:blip xmlns:r="http://schemas.openxmlformats.org/officeDocument/2006/relationships" r:embed="rId11"/>
        <a:stretch>
          <a:fillRect/>
        </a:stretch>
      </xdr:blipFill>
      <xdr:spPr>
        <a:xfrm rot="21392666">
          <a:off x="3409951" y="4113179"/>
          <a:ext cx="1543050" cy="787940"/>
        </a:xfrm>
        <a:prstGeom prst="rect">
          <a:avLst/>
        </a:prstGeom>
      </xdr:spPr>
    </xdr:pic>
    <xdr:clientData/>
  </xdr:twoCellAnchor>
  <xdr:twoCellAnchor editAs="oneCell">
    <xdr:from>
      <xdr:col>15</xdr:col>
      <xdr:colOff>0</xdr:colOff>
      <xdr:row>10</xdr:row>
      <xdr:rowOff>209550</xdr:rowOff>
    </xdr:from>
    <xdr:to>
      <xdr:col>15</xdr:col>
      <xdr:colOff>558800</xdr:colOff>
      <xdr:row>11</xdr:row>
      <xdr:rowOff>444807</xdr:rowOff>
    </xdr:to>
    <xdr:pic>
      <xdr:nvPicPr>
        <xdr:cNvPr id="4" name="Picture 3">
          <a:extLst>
            <a:ext uri="{FF2B5EF4-FFF2-40B4-BE49-F238E27FC236}">
              <a16:creationId xmlns:a16="http://schemas.microsoft.com/office/drawing/2014/main" id="{E9BE458B-1D8E-4AE6-FF48-726B109D69D0}"/>
            </a:ext>
          </a:extLst>
        </xdr:cNvPr>
        <xdr:cNvPicPr>
          <a:picLocks noChangeAspect="1"/>
        </xdr:cNvPicPr>
      </xdr:nvPicPr>
      <xdr:blipFill>
        <a:blip xmlns:r="http://schemas.openxmlformats.org/officeDocument/2006/relationships" r:embed="rId12"/>
        <a:stretch>
          <a:fillRect/>
        </a:stretch>
      </xdr:blipFill>
      <xdr:spPr>
        <a:xfrm>
          <a:off x="12620625" y="3600450"/>
          <a:ext cx="558800" cy="597207"/>
        </a:xfrm>
        <a:prstGeom prst="rect">
          <a:avLst/>
        </a:prstGeom>
      </xdr:spPr>
    </xdr:pic>
    <xdr:clientData/>
  </xdr:twoCellAnchor>
  <xdr:twoCellAnchor editAs="oneCell">
    <xdr:from>
      <xdr:col>10</xdr:col>
      <xdr:colOff>561975</xdr:colOff>
      <xdr:row>9</xdr:row>
      <xdr:rowOff>295275</xdr:rowOff>
    </xdr:from>
    <xdr:to>
      <xdr:col>12</xdr:col>
      <xdr:colOff>104908</xdr:colOff>
      <xdr:row>12</xdr:row>
      <xdr:rowOff>82686</xdr:rowOff>
    </xdr:to>
    <xdr:pic>
      <xdr:nvPicPr>
        <xdr:cNvPr id="5" name="Picture 4">
          <a:extLst>
            <a:ext uri="{FF2B5EF4-FFF2-40B4-BE49-F238E27FC236}">
              <a16:creationId xmlns:a16="http://schemas.microsoft.com/office/drawing/2014/main" id="{D95D81DD-18EB-4406-848D-A06DA77F3A3A}"/>
            </a:ext>
          </a:extLst>
        </xdr:cNvPr>
        <xdr:cNvPicPr>
          <a:picLocks noChangeAspect="1"/>
        </xdr:cNvPicPr>
      </xdr:nvPicPr>
      <xdr:blipFill>
        <a:blip xmlns:r="http://schemas.openxmlformats.org/officeDocument/2006/relationships" r:embed="rId13"/>
        <a:stretch>
          <a:fillRect/>
        </a:stretch>
      </xdr:blipFill>
      <xdr:spPr>
        <a:xfrm>
          <a:off x="10029825" y="3352800"/>
          <a:ext cx="952633" cy="9780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523875</xdr:colOff>
      <xdr:row>11</xdr:row>
      <xdr:rowOff>92075</xdr:rowOff>
    </xdr:from>
    <xdr:to>
      <xdr:col>17</xdr:col>
      <xdr:colOff>447675</xdr:colOff>
      <xdr:row>13</xdr:row>
      <xdr:rowOff>123825</xdr:rowOff>
    </xdr:to>
    <xdr:pic>
      <xdr:nvPicPr>
        <xdr:cNvPr id="2" name="Picture 2" descr="MAGNUM Remote Control">
          <a:extLst>
            <a:ext uri="{FF2B5EF4-FFF2-40B4-BE49-F238E27FC236}">
              <a16:creationId xmlns:a16="http://schemas.microsoft.com/office/drawing/2014/main" id="{7114D6BF-B19B-4545-A9F4-636A36DF3D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16050" y="4006850"/>
          <a:ext cx="1066800" cy="1022350"/>
        </a:xfrm>
        <a:prstGeom prst="rect">
          <a:avLst/>
        </a:prstGeom>
        <a:noFill/>
      </xdr:spPr>
    </xdr:pic>
    <xdr:clientData/>
  </xdr:twoCellAnchor>
  <xdr:twoCellAnchor editAs="oneCell">
    <xdr:from>
      <xdr:col>0</xdr:col>
      <xdr:colOff>104775</xdr:colOff>
      <xdr:row>0</xdr:row>
      <xdr:rowOff>114300</xdr:rowOff>
    </xdr:from>
    <xdr:to>
      <xdr:col>2</xdr:col>
      <xdr:colOff>695325</xdr:colOff>
      <xdr:row>0</xdr:row>
      <xdr:rowOff>1543050</xdr:rowOff>
    </xdr:to>
    <xdr:pic>
      <xdr:nvPicPr>
        <xdr:cNvPr id="6" name="Imagine 5">
          <a:extLst>
            <a:ext uri="{FF2B5EF4-FFF2-40B4-BE49-F238E27FC236}">
              <a16:creationId xmlns:a16="http://schemas.microsoft.com/office/drawing/2014/main" id="{F0AE35E8-83EC-4C29-8E3C-E48E6BBA38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14300"/>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95249</xdr:rowOff>
    </xdr:from>
    <xdr:to>
      <xdr:col>2</xdr:col>
      <xdr:colOff>1018944</xdr:colOff>
      <xdr:row>13</xdr:row>
      <xdr:rowOff>219075</xdr:rowOff>
    </xdr:to>
    <xdr:pic>
      <xdr:nvPicPr>
        <xdr:cNvPr id="7" name="Picture 3" descr="ALU-Foil-Mat - afb. 1">
          <a:extLst>
            <a:ext uri="{FF2B5EF4-FFF2-40B4-BE49-F238E27FC236}">
              <a16:creationId xmlns:a16="http://schemas.microsoft.com/office/drawing/2014/main" id="{4BDC7402-9FA0-4E86-BD9A-BABEC9BDF75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0" y="4067174"/>
          <a:ext cx="1952394" cy="1114426"/>
        </a:xfrm>
        <a:prstGeom prst="rect">
          <a:avLst/>
        </a:prstGeom>
        <a:noFill/>
      </xdr:spPr>
    </xdr:pic>
    <xdr:clientData/>
  </xdr:twoCellAnchor>
  <xdr:twoCellAnchor editAs="oneCell">
    <xdr:from>
      <xdr:col>2</xdr:col>
      <xdr:colOff>1000124</xdr:colOff>
      <xdr:row>11</xdr:row>
      <xdr:rowOff>276226</xdr:rowOff>
    </xdr:from>
    <xdr:to>
      <xdr:col>2</xdr:col>
      <xdr:colOff>2787903</xdr:colOff>
      <xdr:row>13</xdr:row>
      <xdr:rowOff>142876</xdr:rowOff>
    </xdr:to>
    <xdr:pic>
      <xdr:nvPicPr>
        <xdr:cNvPr id="8" name="Picture 4" descr="ALU-Foil-Mat - afb. 5">
          <a:extLst>
            <a:ext uri="{FF2B5EF4-FFF2-40B4-BE49-F238E27FC236}">
              <a16:creationId xmlns:a16="http://schemas.microsoft.com/office/drawing/2014/main" id="{403E7528-850E-4BB0-BBC7-D054E069A15E}"/>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933574" y="4248151"/>
          <a:ext cx="1787779" cy="857250"/>
        </a:xfrm>
        <a:prstGeom prst="rect">
          <a:avLst/>
        </a:prstGeom>
        <a:noFill/>
      </xdr:spPr>
    </xdr:pic>
    <xdr:clientData/>
  </xdr:twoCellAnchor>
  <xdr:twoCellAnchor editAs="oneCell">
    <xdr:from>
      <xdr:col>1</xdr:col>
      <xdr:colOff>504825</xdr:colOff>
      <xdr:row>60</xdr:row>
      <xdr:rowOff>95250</xdr:rowOff>
    </xdr:from>
    <xdr:to>
      <xdr:col>5</xdr:col>
      <xdr:colOff>628650</xdr:colOff>
      <xdr:row>84</xdr:row>
      <xdr:rowOff>144651</xdr:rowOff>
    </xdr:to>
    <xdr:pic>
      <xdr:nvPicPr>
        <xdr:cNvPr id="9" name="Imagine 8">
          <a:extLst>
            <a:ext uri="{FF2B5EF4-FFF2-40B4-BE49-F238E27FC236}">
              <a16:creationId xmlns:a16="http://schemas.microsoft.com/office/drawing/2014/main" id="{9C3E07C8-E5C6-47DB-9525-9A7156BAF0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85825" y="17030700"/>
          <a:ext cx="5362575" cy="4011801"/>
        </a:xfrm>
        <a:prstGeom prst="rect">
          <a:avLst/>
        </a:prstGeom>
      </xdr:spPr>
    </xdr:pic>
    <xdr:clientData/>
  </xdr:twoCellAnchor>
  <xdr:twoCellAnchor editAs="oneCell">
    <xdr:from>
      <xdr:col>13</xdr:col>
      <xdr:colOff>28576</xdr:colOff>
      <xdr:row>11</xdr:row>
      <xdr:rowOff>419101</xdr:rowOff>
    </xdr:from>
    <xdr:to>
      <xdr:col>13</xdr:col>
      <xdr:colOff>552450</xdr:colOff>
      <xdr:row>12</xdr:row>
      <xdr:rowOff>444593</xdr:rowOff>
    </xdr:to>
    <xdr:pic>
      <xdr:nvPicPr>
        <xdr:cNvPr id="3" name="Imagine 2">
          <a:extLst>
            <a:ext uri="{FF2B5EF4-FFF2-40B4-BE49-F238E27FC236}">
              <a16:creationId xmlns:a16="http://schemas.microsoft.com/office/drawing/2014/main" id="{70186B51-FD93-0963-84E3-AB500ABB6339}"/>
            </a:ext>
          </a:extLst>
        </xdr:cNvPr>
        <xdr:cNvPicPr>
          <a:picLocks noChangeAspect="1"/>
        </xdr:cNvPicPr>
      </xdr:nvPicPr>
      <xdr:blipFill>
        <a:blip xmlns:r="http://schemas.openxmlformats.org/officeDocument/2006/relationships" r:embed="rId6"/>
        <a:stretch>
          <a:fillRect/>
        </a:stretch>
      </xdr:blipFill>
      <xdr:spPr>
        <a:xfrm>
          <a:off x="11239501" y="4391026"/>
          <a:ext cx="523874" cy="520792"/>
        </a:xfrm>
        <a:prstGeom prst="rect">
          <a:avLst/>
        </a:prstGeom>
      </xdr:spPr>
    </xdr:pic>
    <xdr:clientData/>
  </xdr:twoCellAnchor>
  <xdr:twoCellAnchor editAs="oneCell">
    <xdr:from>
      <xdr:col>9</xdr:col>
      <xdr:colOff>409575</xdr:colOff>
      <xdr:row>11</xdr:row>
      <xdr:rowOff>123825</xdr:rowOff>
    </xdr:from>
    <xdr:to>
      <xdr:col>10</xdr:col>
      <xdr:colOff>200024</xdr:colOff>
      <xdr:row>12</xdr:row>
      <xdr:rowOff>438149</xdr:rowOff>
    </xdr:to>
    <xdr:pic>
      <xdr:nvPicPr>
        <xdr:cNvPr id="12" name="Imagine 11">
          <a:extLst>
            <a:ext uri="{FF2B5EF4-FFF2-40B4-BE49-F238E27FC236}">
              <a16:creationId xmlns:a16="http://schemas.microsoft.com/office/drawing/2014/main" id="{24B5F52A-DC51-43B5-B574-38D6863BED74}"/>
            </a:ext>
          </a:extLst>
        </xdr:cNvPr>
        <xdr:cNvPicPr>
          <a:picLocks noChangeAspect="1"/>
        </xdr:cNvPicPr>
      </xdr:nvPicPr>
      <xdr:blipFill>
        <a:blip xmlns:r="http://schemas.openxmlformats.org/officeDocument/2006/relationships" r:embed="rId7"/>
        <a:stretch>
          <a:fillRect/>
        </a:stretch>
      </xdr:blipFill>
      <xdr:spPr>
        <a:xfrm>
          <a:off x="8715375" y="4095750"/>
          <a:ext cx="761999" cy="809624"/>
        </a:xfrm>
        <a:prstGeom prst="rect">
          <a:avLst/>
        </a:prstGeom>
      </xdr:spPr>
    </xdr:pic>
    <xdr:clientData/>
  </xdr:twoCellAnchor>
  <xdr:twoCellAnchor editAs="oneCell">
    <xdr:from>
      <xdr:col>2</xdr:col>
      <xdr:colOff>2838449</xdr:colOff>
      <xdr:row>11</xdr:row>
      <xdr:rowOff>142873</xdr:rowOff>
    </xdr:from>
    <xdr:to>
      <xdr:col>3</xdr:col>
      <xdr:colOff>323849</xdr:colOff>
      <xdr:row>13</xdr:row>
      <xdr:rowOff>180972</xdr:rowOff>
    </xdr:to>
    <xdr:pic>
      <xdr:nvPicPr>
        <xdr:cNvPr id="5" name="Imagine 4">
          <a:extLst>
            <a:ext uri="{FF2B5EF4-FFF2-40B4-BE49-F238E27FC236}">
              <a16:creationId xmlns:a16="http://schemas.microsoft.com/office/drawing/2014/main" id="{B2B0F937-641C-4033-8578-E4FB30B6B780}"/>
            </a:ext>
          </a:extLst>
        </xdr:cNvPr>
        <xdr:cNvPicPr>
          <a:picLocks noChangeAspect="1"/>
        </xdr:cNvPicPr>
      </xdr:nvPicPr>
      <xdr:blipFill>
        <a:blip xmlns:r="http://schemas.openxmlformats.org/officeDocument/2006/relationships" r:embed="rId8"/>
        <a:stretch>
          <a:fillRect/>
        </a:stretch>
      </xdr:blipFill>
      <xdr:spPr>
        <a:xfrm rot="4516109">
          <a:off x="4067174" y="3800473"/>
          <a:ext cx="1028699" cy="1543050"/>
        </a:xfrm>
        <a:prstGeom prst="rect">
          <a:avLst/>
        </a:prstGeom>
      </xdr:spPr>
    </xdr:pic>
    <xdr:clientData/>
  </xdr:twoCellAnchor>
  <xdr:twoCellAnchor editAs="oneCell">
    <xdr:from>
      <xdr:col>10</xdr:col>
      <xdr:colOff>514350</xdr:colOff>
      <xdr:row>11</xdr:row>
      <xdr:rowOff>161925</xdr:rowOff>
    </xdr:from>
    <xdr:to>
      <xdr:col>12</xdr:col>
      <xdr:colOff>19172</xdr:colOff>
      <xdr:row>13</xdr:row>
      <xdr:rowOff>28695</xdr:rowOff>
    </xdr:to>
    <xdr:pic>
      <xdr:nvPicPr>
        <xdr:cNvPr id="13" name="Imagine 12">
          <a:extLst>
            <a:ext uri="{FF2B5EF4-FFF2-40B4-BE49-F238E27FC236}">
              <a16:creationId xmlns:a16="http://schemas.microsoft.com/office/drawing/2014/main" id="{296AABFB-C409-4B79-B103-D635115CC12B}"/>
            </a:ext>
          </a:extLst>
        </xdr:cNvPr>
        <xdr:cNvPicPr>
          <a:picLocks noChangeAspect="1"/>
        </xdr:cNvPicPr>
      </xdr:nvPicPr>
      <xdr:blipFill>
        <a:blip xmlns:r="http://schemas.openxmlformats.org/officeDocument/2006/relationships" r:embed="rId9"/>
        <a:stretch>
          <a:fillRect/>
        </a:stretch>
      </xdr:blipFill>
      <xdr:spPr>
        <a:xfrm>
          <a:off x="9791700" y="4133850"/>
          <a:ext cx="876422" cy="857370"/>
        </a:xfrm>
        <a:prstGeom prst="rect">
          <a:avLst/>
        </a:prstGeom>
      </xdr:spPr>
    </xdr:pic>
    <xdr:clientData/>
  </xdr:twoCellAnchor>
  <xdr:twoCellAnchor editAs="oneCell">
    <xdr:from>
      <xdr:col>5</xdr:col>
      <xdr:colOff>0</xdr:colOff>
      <xdr:row>11</xdr:row>
      <xdr:rowOff>123825</xdr:rowOff>
    </xdr:from>
    <xdr:to>
      <xdr:col>6</xdr:col>
      <xdr:colOff>117</xdr:colOff>
      <xdr:row>13</xdr:row>
      <xdr:rowOff>121</xdr:rowOff>
    </xdr:to>
    <xdr:pic>
      <xdr:nvPicPr>
        <xdr:cNvPr id="15" name="Imagine 14">
          <a:extLst>
            <a:ext uri="{FF2B5EF4-FFF2-40B4-BE49-F238E27FC236}">
              <a16:creationId xmlns:a16="http://schemas.microsoft.com/office/drawing/2014/main" id="{D931208F-80F5-4B33-A05A-182DC4086FB4}"/>
            </a:ext>
          </a:extLst>
        </xdr:cNvPr>
        <xdr:cNvPicPr>
          <a:picLocks noChangeAspect="1"/>
        </xdr:cNvPicPr>
      </xdr:nvPicPr>
      <xdr:blipFill>
        <a:blip xmlns:r="http://schemas.openxmlformats.org/officeDocument/2006/relationships" r:embed="rId10"/>
        <a:stretch>
          <a:fillRect/>
        </a:stretch>
      </xdr:blipFill>
      <xdr:spPr>
        <a:xfrm>
          <a:off x="5619750" y="4095750"/>
          <a:ext cx="838317" cy="866896"/>
        </a:xfrm>
        <a:prstGeom prst="rect">
          <a:avLst/>
        </a:prstGeom>
      </xdr:spPr>
    </xdr:pic>
    <xdr:clientData/>
  </xdr:twoCellAnchor>
  <xdr:twoCellAnchor editAs="oneCell">
    <xdr:from>
      <xdr:col>14</xdr:col>
      <xdr:colOff>542925</xdr:colOff>
      <xdr:row>11</xdr:row>
      <xdr:rowOff>361950</xdr:rowOff>
    </xdr:from>
    <xdr:to>
      <xdr:col>15</xdr:col>
      <xdr:colOff>539750</xdr:colOff>
      <xdr:row>12</xdr:row>
      <xdr:rowOff>463857</xdr:rowOff>
    </xdr:to>
    <xdr:pic>
      <xdr:nvPicPr>
        <xdr:cNvPr id="4" name="Picture 3">
          <a:extLst>
            <a:ext uri="{FF2B5EF4-FFF2-40B4-BE49-F238E27FC236}">
              <a16:creationId xmlns:a16="http://schemas.microsoft.com/office/drawing/2014/main" id="{033741CA-5B46-4377-9070-85BAAC7F86BF}"/>
            </a:ext>
          </a:extLst>
        </xdr:cNvPr>
        <xdr:cNvPicPr>
          <a:picLocks noChangeAspect="1"/>
        </xdr:cNvPicPr>
      </xdr:nvPicPr>
      <xdr:blipFill>
        <a:blip xmlns:r="http://schemas.openxmlformats.org/officeDocument/2006/relationships" r:embed="rId11"/>
        <a:stretch>
          <a:fillRect/>
        </a:stretch>
      </xdr:blipFill>
      <xdr:spPr>
        <a:xfrm>
          <a:off x="12896850" y="4276725"/>
          <a:ext cx="558800" cy="597207"/>
        </a:xfrm>
        <a:prstGeom prst="rect">
          <a:avLst/>
        </a:prstGeom>
      </xdr:spPr>
    </xdr:pic>
    <xdr:clientData/>
  </xdr:twoCellAnchor>
  <xdr:twoCellAnchor editAs="oneCell">
    <xdr:from>
      <xdr:col>7</xdr:col>
      <xdr:colOff>152400</xdr:colOff>
      <xdr:row>11</xdr:row>
      <xdr:rowOff>28575</xdr:rowOff>
    </xdr:from>
    <xdr:to>
      <xdr:col>9</xdr:col>
      <xdr:colOff>19183</xdr:colOff>
      <xdr:row>13</xdr:row>
      <xdr:rowOff>16011</xdr:rowOff>
    </xdr:to>
    <xdr:pic>
      <xdr:nvPicPr>
        <xdr:cNvPr id="10" name="Picture 9">
          <a:extLst>
            <a:ext uri="{FF2B5EF4-FFF2-40B4-BE49-F238E27FC236}">
              <a16:creationId xmlns:a16="http://schemas.microsoft.com/office/drawing/2014/main" id="{FC8392E0-98B5-43E5-A250-2AC398C56A02}"/>
            </a:ext>
          </a:extLst>
        </xdr:cNvPr>
        <xdr:cNvPicPr>
          <a:picLocks noChangeAspect="1"/>
        </xdr:cNvPicPr>
      </xdr:nvPicPr>
      <xdr:blipFill>
        <a:blip xmlns:r="http://schemas.openxmlformats.org/officeDocument/2006/relationships" r:embed="rId12"/>
        <a:stretch>
          <a:fillRect/>
        </a:stretch>
      </xdr:blipFill>
      <xdr:spPr>
        <a:xfrm>
          <a:off x="7753350" y="3943350"/>
          <a:ext cx="952633" cy="9780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863600</xdr:colOff>
      <xdr:row>10</xdr:row>
      <xdr:rowOff>247650</xdr:rowOff>
    </xdr:from>
    <xdr:to>
      <xdr:col>20</xdr:col>
      <xdr:colOff>552449</xdr:colOff>
      <xdr:row>13</xdr:row>
      <xdr:rowOff>19049</xdr:rowOff>
    </xdr:to>
    <xdr:pic>
      <xdr:nvPicPr>
        <xdr:cNvPr id="2" name="Picture 2" descr="MAGNUM Remote Control">
          <a:extLst>
            <a:ext uri="{FF2B5EF4-FFF2-40B4-BE49-F238E27FC236}">
              <a16:creationId xmlns:a16="http://schemas.microsoft.com/office/drawing/2014/main" id="{04868C6D-F117-43F4-82A2-172431D546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665325" y="3838575"/>
          <a:ext cx="1127124" cy="1085849"/>
        </a:xfrm>
        <a:prstGeom prst="rect">
          <a:avLst/>
        </a:prstGeom>
        <a:noFill/>
      </xdr:spPr>
    </xdr:pic>
    <xdr:clientData/>
  </xdr:twoCellAnchor>
  <xdr:twoCellAnchor editAs="oneCell">
    <xdr:from>
      <xdr:col>0</xdr:col>
      <xdr:colOff>104775</xdr:colOff>
      <xdr:row>0</xdr:row>
      <xdr:rowOff>114300</xdr:rowOff>
    </xdr:from>
    <xdr:to>
      <xdr:col>2</xdr:col>
      <xdr:colOff>695325</xdr:colOff>
      <xdr:row>0</xdr:row>
      <xdr:rowOff>1543050</xdr:rowOff>
    </xdr:to>
    <xdr:pic>
      <xdr:nvPicPr>
        <xdr:cNvPr id="3" name="Imagine 2">
          <a:extLst>
            <a:ext uri="{FF2B5EF4-FFF2-40B4-BE49-F238E27FC236}">
              <a16:creationId xmlns:a16="http://schemas.microsoft.com/office/drawing/2014/main" id="{D0C56983-EEB0-40DA-8D5B-5D5E93242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14300"/>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66674</xdr:colOff>
      <xdr:row>11</xdr:row>
      <xdr:rowOff>200024</xdr:rowOff>
    </xdr:from>
    <xdr:to>
      <xdr:col>2</xdr:col>
      <xdr:colOff>819149</xdr:colOff>
      <xdr:row>13</xdr:row>
      <xdr:rowOff>171749</xdr:rowOff>
    </xdr:to>
    <xdr:pic>
      <xdr:nvPicPr>
        <xdr:cNvPr id="4" name="Picture 3" descr="ALU-Foil-Mat - afb. 1">
          <a:extLst>
            <a:ext uri="{FF2B5EF4-FFF2-40B4-BE49-F238E27FC236}">
              <a16:creationId xmlns:a16="http://schemas.microsoft.com/office/drawing/2014/main" id="{DDF72CEF-6BFA-41B3-AF2A-E1EF597CB8C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6674" y="4171949"/>
          <a:ext cx="1685925" cy="962325"/>
        </a:xfrm>
        <a:prstGeom prst="rect">
          <a:avLst/>
        </a:prstGeom>
        <a:noFill/>
      </xdr:spPr>
    </xdr:pic>
    <xdr:clientData/>
  </xdr:twoCellAnchor>
  <xdr:twoCellAnchor editAs="oneCell">
    <xdr:from>
      <xdr:col>0</xdr:col>
      <xdr:colOff>0</xdr:colOff>
      <xdr:row>86</xdr:row>
      <xdr:rowOff>95250</xdr:rowOff>
    </xdr:from>
    <xdr:to>
      <xdr:col>2</xdr:col>
      <xdr:colOff>3152226</xdr:colOff>
      <xdr:row>98</xdr:row>
      <xdr:rowOff>114300</xdr:rowOff>
    </xdr:to>
    <xdr:pic>
      <xdr:nvPicPr>
        <xdr:cNvPr id="5" name="Picture 4" descr="ALU-Foil-Mat - afb. 5">
          <a:extLst>
            <a:ext uri="{FF2B5EF4-FFF2-40B4-BE49-F238E27FC236}">
              <a16:creationId xmlns:a16="http://schemas.microsoft.com/office/drawing/2014/main" id="{9DD478D7-B1ED-4E41-953C-174A65F71D9A}"/>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0" y="21145500"/>
          <a:ext cx="4092026" cy="1962150"/>
        </a:xfrm>
        <a:prstGeom prst="rect">
          <a:avLst/>
        </a:prstGeom>
        <a:noFill/>
      </xdr:spPr>
    </xdr:pic>
    <xdr:clientData/>
  </xdr:twoCellAnchor>
  <xdr:twoCellAnchor editAs="oneCell">
    <xdr:from>
      <xdr:col>15</xdr:col>
      <xdr:colOff>409575</xdr:colOff>
      <xdr:row>11</xdr:row>
      <xdr:rowOff>381000</xdr:rowOff>
    </xdr:from>
    <xdr:to>
      <xdr:col>16</xdr:col>
      <xdr:colOff>539844</xdr:colOff>
      <xdr:row>12</xdr:row>
      <xdr:rowOff>438149</xdr:rowOff>
    </xdr:to>
    <xdr:pic>
      <xdr:nvPicPr>
        <xdr:cNvPr id="10" name="Imagine 9">
          <a:extLst>
            <a:ext uri="{FF2B5EF4-FFF2-40B4-BE49-F238E27FC236}">
              <a16:creationId xmlns:a16="http://schemas.microsoft.com/office/drawing/2014/main" id="{88D1877F-8399-412E-8EBF-6E8ECD8B27A2}"/>
            </a:ext>
          </a:extLst>
        </xdr:cNvPr>
        <xdr:cNvPicPr>
          <a:picLocks noChangeAspect="1"/>
        </xdr:cNvPicPr>
      </xdr:nvPicPr>
      <xdr:blipFill>
        <a:blip xmlns:r="http://schemas.openxmlformats.org/officeDocument/2006/relationships" r:embed="rId5"/>
        <a:stretch>
          <a:fillRect/>
        </a:stretch>
      </xdr:blipFill>
      <xdr:spPr>
        <a:xfrm>
          <a:off x="12172950" y="4352925"/>
          <a:ext cx="555719" cy="552449"/>
        </a:xfrm>
        <a:prstGeom prst="rect">
          <a:avLst/>
        </a:prstGeom>
      </xdr:spPr>
    </xdr:pic>
    <xdr:clientData/>
  </xdr:twoCellAnchor>
  <xdr:twoCellAnchor editAs="oneCell">
    <xdr:from>
      <xdr:col>8</xdr:col>
      <xdr:colOff>381000</xdr:colOff>
      <xdr:row>11</xdr:row>
      <xdr:rowOff>180975</xdr:rowOff>
    </xdr:from>
    <xdr:to>
      <xdr:col>9</xdr:col>
      <xdr:colOff>628649</xdr:colOff>
      <xdr:row>12</xdr:row>
      <xdr:rowOff>495299</xdr:rowOff>
    </xdr:to>
    <xdr:pic>
      <xdr:nvPicPr>
        <xdr:cNvPr id="11" name="Imagine 10">
          <a:extLst>
            <a:ext uri="{FF2B5EF4-FFF2-40B4-BE49-F238E27FC236}">
              <a16:creationId xmlns:a16="http://schemas.microsoft.com/office/drawing/2014/main" id="{9564E1CA-B14E-4545-912C-38C7CE57DB30}"/>
            </a:ext>
          </a:extLst>
        </xdr:cNvPr>
        <xdr:cNvPicPr>
          <a:picLocks noChangeAspect="1"/>
        </xdr:cNvPicPr>
      </xdr:nvPicPr>
      <xdr:blipFill>
        <a:blip xmlns:r="http://schemas.openxmlformats.org/officeDocument/2006/relationships" r:embed="rId6"/>
        <a:stretch>
          <a:fillRect/>
        </a:stretch>
      </xdr:blipFill>
      <xdr:spPr>
        <a:xfrm>
          <a:off x="8210550" y="4152900"/>
          <a:ext cx="761999" cy="809624"/>
        </a:xfrm>
        <a:prstGeom prst="rect">
          <a:avLst/>
        </a:prstGeom>
      </xdr:spPr>
    </xdr:pic>
    <xdr:clientData/>
  </xdr:twoCellAnchor>
  <xdr:twoCellAnchor editAs="oneCell">
    <xdr:from>
      <xdr:col>2</xdr:col>
      <xdr:colOff>2895600</xdr:colOff>
      <xdr:row>82</xdr:row>
      <xdr:rowOff>19050</xdr:rowOff>
    </xdr:from>
    <xdr:to>
      <xdr:col>6</xdr:col>
      <xdr:colOff>717264</xdr:colOff>
      <xdr:row>103</xdr:row>
      <xdr:rowOff>38100</xdr:rowOff>
    </xdr:to>
    <xdr:pic>
      <xdr:nvPicPr>
        <xdr:cNvPr id="14" name="Imagine 13">
          <a:extLst>
            <a:ext uri="{FF2B5EF4-FFF2-40B4-BE49-F238E27FC236}">
              <a16:creationId xmlns:a16="http://schemas.microsoft.com/office/drawing/2014/main" id="{927F5690-D255-4A55-9688-AF03F53F78A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829050" y="16764000"/>
          <a:ext cx="3441414" cy="3343275"/>
        </a:xfrm>
        <a:prstGeom prst="rect">
          <a:avLst/>
        </a:prstGeom>
      </xdr:spPr>
    </xdr:pic>
    <xdr:clientData/>
  </xdr:twoCellAnchor>
  <xdr:oneCellAnchor>
    <xdr:from>
      <xdr:col>3</xdr:col>
      <xdr:colOff>314324</xdr:colOff>
      <xdr:row>11</xdr:row>
      <xdr:rowOff>152399</xdr:rowOff>
    </xdr:from>
    <xdr:ext cx="1285875" cy="1133131"/>
    <xdr:pic>
      <xdr:nvPicPr>
        <xdr:cNvPr id="18" name="Picture 27" descr="Imagini pentru magnum underfloor heating mat">
          <a:extLst>
            <a:ext uri="{FF2B5EF4-FFF2-40B4-BE49-F238E27FC236}">
              <a16:creationId xmlns:a16="http://schemas.microsoft.com/office/drawing/2014/main" id="{7A923732-5D4C-482F-A1A3-D82E12EA2BC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210174" y="4124324"/>
          <a:ext cx="1285875" cy="11331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942974</xdr:colOff>
      <xdr:row>11</xdr:row>
      <xdr:rowOff>161925</xdr:rowOff>
    </xdr:from>
    <xdr:to>
      <xdr:col>2</xdr:col>
      <xdr:colOff>2305049</xdr:colOff>
      <xdr:row>13</xdr:row>
      <xdr:rowOff>200024</xdr:rowOff>
    </xdr:to>
    <xdr:pic>
      <xdr:nvPicPr>
        <xdr:cNvPr id="20" name="Imagine 19">
          <a:extLst>
            <a:ext uri="{FF2B5EF4-FFF2-40B4-BE49-F238E27FC236}">
              <a16:creationId xmlns:a16="http://schemas.microsoft.com/office/drawing/2014/main" id="{A16C32BD-3313-4B19-924C-E37A1E7A1F94}"/>
            </a:ext>
          </a:extLst>
        </xdr:cNvPr>
        <xdr:cNvPicPr>
          <a:picLocks noChangeAspect="1"/>
        </xdr:cNvPicPr>
      </xdr:nvPicPr>
      <xdr:blipFill>
        <a:blip xmlns:r="http://schemas.openxmlformats.org/officeDocument/2006/relationships" r:embed="rId9"/>
        <a:stretch>
          <a:fillRect/>
        </a:stretch>
      </xdr:blipFill>
      <xdr:spPr>
        <a:xfrm rot="5400000">
          <a:off x="2043112" y="3967162"/>
          <a:ext cx="1028699" cy="1362075"/>
        </a:xfrm>
        <a:prstGeom prst="rect">
          <a:avLst/>
        </a:prstGeom>
      </xdr:spPr>
    </xdr:pic>
    <xdr:clientData/>
  </xdr:twoCellAnchor>
  <xdr:twoCellAnchor editAs="oneCell">
    <xdr:from>
      <xdr:col>5</xdr:col>
      <xdr:colOff>647700</xdr:colOff>
      <xdr:row>11</xdr:row>
      <xdr:rowOff>114300</xdr:rowOff>
    </xdr:from>
    <xdr:to>
      <xdr:col>6</xdr:col>
      <xdr:colOff>704967</xdr:colOff>
      <xdr:row>12</xdr:row>
      <xdr:rowOff>485896</xdr:rowOff>
    </xdr:to>
    <xdr:pic>
      <xdr:nvPicPr>
        <xdr:cNvPr id="13" name="Imagine 12">
          <a:extLst>
            <a:ext uri="{FF2B5EF4-FFF2-40B4-BE49-F238E27FC236}">
              <a16:creationId xmlns:a16="http://schemas.microsoft.com/office/drawing/2014/main" id="{694A071B-98B7-4D2E-B220-F5B455A30D5B}"/>
            </a:ext>
          </a:extLst>
        </xdr:cNvPr>
        <xdr:cNvPicPr>
          <a:picLocks noChangeAspect="1"/>
        </xdr:cNvPicPr>
      </xdr:nvPicPr>
      <xdr:blipFill>
        <a:blip xmlns:r="http://schemas.openxmlformats.org/officeDocument/2006/relationships" r:embed="rId10"/>
        <a:stretch>
          <a:fillRect/>
        </a:stretch>
      </xdr:blipFill>
      <xdr:spPr>
        <a:xfrm>
          <a:off x="6496050" y="4086225"/>
          <a:ext cx="838317" cy="866896"/>
        </a:xfrm>
        <a:prstGeom prst="rect">
          <a:avLst/>
        </a:prstGeom>
      </xdr:spPr>
    </xdr:pic>
    <xdr:clientData/>
  </xdr:twoCellAnchor>
  <xdr:twoCellAnchor editAs="oneCell">
    <xdr:from>
      <xdr:col>10</xdr:col>
      <xdr:colOff>285750</xdr:colOff>
      <xdr:row>11</xdr:row>
      <xdr:rowOff>180975</xdr:rowOff>
    </xdr:from>
    <xdr:to>
      <xdr:col>11</xdr:col>
      <xdr:colOff>571622</xdr:colOff>
      <xdr:row>13</xdr:row>
      <xdr:rowOff>47745</xdr:rowOff>
    </xdr:to>
    <xdr:pic>
      <xdr:nvPicPr>
        <xdr:cNvPr id="15" name="Imagine 14">
          <a:extLst>
            <a:ext uri="{FF2B5EF4-FFF2-40B4-BE49-F238E27FC236}">
              <a16:creationId xmlns:a16="http://schemas.microsoft.com/office/drawing/2014/main" id="{EDF58DB4-4202-4E20-BB1C-C2D45EA1F8FB}"/>
            </a:ext>
          </a:extLst>
        </xdr:cNvPr>
        <xdr:cNvPicPr>
          <a:picLocks noChangeAspect="1"/>
        </xdr:cNvPicPr>
      </xdr:nvPicPr>
      <xdr:blipFill>
        <a:blip xmlns:r="http://schemas.openxmlformats.org/officeDocument/2006/relationships" r:embed="rId11"/>
        <a:stretch>
          <a:fillRect/>
        </a:stretch>
      </xdr:blipFill>
      <xdr:spPr>
        <a:xfrm>
          <a:off x="9363075" y="4152900"/>
          <a:ext cx="876422" cy="857370"/>
        </a:xfrm>
        <a:prstGeom prst="rect">
          <a:avLst/>
        </a:prstGeom>
      </xdr:spPr>
    </xdr:pic>
    <xdr:clientData/>
  </xdr:twoCellAnchor>
  <xdr:twoCellAnchor editAs="oneCell">
    <xdr:from>
      <xdr:col>2</xdr:col>
      <xdr:colOff>2533649</xdr:colOff>
      <xdr:row>11</xdr:row>
      <xdr:rowOff>276224</xdr:rowOff>
    </xdr:from>
    <xdr:to>
      <xdr:col>3</xdr:col>
      <xdr:colOff>190499</xdr:colOff>
      <xdr:row>13</xdr:row>
      <xdr:rowOff>73564</xdr:rowOff>
    </xdr:to>
    <xdr:pic>
      <xdr:nvPicPr>
        <xdr:cNvPr id="16" name="Imagine 15">
          <a:extLst>
            <a:ext uri="{FF2B5EF4-FFF2-40B4-BE49-F238E27FC236}">
              <a16:creationId xmlns:a16="http://schemas.microsoft.com/office/drawing/2014/main" id="{BF2575FC-1258-4287-9125-F97BFD0E7BAE}"/>
            </a:ext>
          </a:extLst>
        </xdr:cNvPr>
        <xdr:cNvPicPr>
          <a:picLocks noChangeAspect="1"/>
        </xdr:cNvPicPr>
      </xdr:nvPicPr>
      <xdr:blipFill>
        <a:blip xmlns:r="http://schemas.openxmlformats.org/officeDocument/2006/relationships" r:embed="rId12"/>
        <a:stretch>
          <a:fillRect/>
        </a:stretch>
      </xdr:blipFill>
      <xdr:spPr>
        <a:xfrm>
          <a:off x="3467099" y="4248149"/>
          <a:ext cx="1543050" cy="787940"/>
        </a:xfrm>
        <a:prstGeom prst="rect">
          <a:avLst/>
        </a:prstGeom>
      </xdr:spPr>
    </xdr:pic>
    <xdr:clientData/>
  </xdr:twoCellAnchor>
  <xdr:twoCellAnchor editAs="oneCell">
    <xdr:from>
      <xdr:col>18</xdr:col>
      <xdr:colOff>0</xdr:colOff>
      <xdr:row>12</xdr:row>
      <xdr:rowOff>0</xdr:rowOff>
    </xdr:from>
    <xdr:to>
      <xdr:col>18</xdr:col>
      <xdr:colOff>561975</xdr:colOff>
      <xdr:row>13</xdr:row>
      <xdr:rowOff>105082</xdr:rowOff>
    </xdr:to>
    <xdr:pic>
      <xdr:nvPicPr>
        <xdr:cNvPr id="7" name="Picture 6">
          <a:extLst>
            <a:ext uri="{FF2B5EF4-FFF2-40B4-BE49-F238E27FC236}">
              <a16:creationId xmlns:a16="http://schemas.microsoft.com/office/drawing/2014/main" id="{6A90BF78-36CB-4C96-9908-F1771897EC4B}"/>
            </a:ext>
          </a:extLst>
        </xdr:cNvPr>
        <xdr:cNvPicPr>
          <a:picLocks noChangeAspect="1"/>
        </xdr:cNvPicPr>
      </xdr:nvPicPr>
      <xdr:blipFill>
        <a:blip xmlns:r="http://schemas.openxmlformats.org/officeDocument/2006/relationships" r:embed="rId13"/>
        <a:stretch>
          <a:fillRect/>
        </a:stretch>
      </xdr:blipFill>
      <xdr:spPr>
        <a:xfrm>
          <a:off x="13935075" y="4410075"/>
          <a:ext cx="561975" cy="600382"/>
        </a:xfrm>
        <a:prstGeom prst="rect">
          <a:avLst/>
        </a:prstGeom>
      </xdr:spPr>
    </xdr:pic>
    <xdr:clientData/>
  </xdr:twoCellAnchor>
  <xdr:twoCellAnchor editAs="oneCell">
    <xdr:from>
      <xdr:col>12</xdr:col>
      <xdr:colOff>320675</xdr:colOff>
      <xdr:row>11</xdr:row>
      <xdr:rowOff>25400</xdr:rowOff>
    </xdr:from>
    <xdr:to>
      <xdr:col>14</xdr:col>
      <xdr:colOff>257308</xdr:colOff>
      <xdr:row>13</xdr:row>
      <xdr:rowOff>16011</xdr:rowOff>
    </xdr:to>
    <xdr:pic>
      <xdr:nvPicPr>
        <xdr:cNvPr id="8" name="Picture 7">
          <a:extLst>
            <a:ext uri="{FF2B5EF4-FFF2-40B4-BE49-F238E27FC236}">
              <a16:creationId xmlns:a16="http://schemas.microsoft.com/office/drawing/2014/main" id="{C465BF13-7B1F-4CCD-AE6C-DF8F3E9E27F2}"/>
            </a:ext>
          </a:extLst>
        </xdr:cNvPr>
        <xdr:cNvPicPr>
          <a:picLocks noChangeAspect="1"/>
        </xdr:cNvPicPr>
      </xdr:nvPicPr>
      <xdr:blipFill>
        <a:blip xmlns:r="http://schemas.openxmlformats.org/officeDocument/2006/relationships" r:embed="rId14"/>
        <a:stretch>
          <a:fillRect/>
        </a:stretch>
      </xdr:blipFill>
      <xdr:spPr>
        <a:xfrm>
          <a:off x="10960100" y="3940175"/>
          <a:ext cx="955808" cy="9812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190500</xdr:colOff>
      <xdr:row>11</xdr:row>
      <xdr:rowOff>47625</xdr:rowOff>
    </xdr:from>
    <xdr:to>
      <xdr:col>18</xdr:col>
      <xdr:colOff>88899</xdr:colOff>
      <xdr:row>13</xdr:row>
      <xdr:rowOff>146049</xdr:rowOff>
    </xdr:to>
    <xdr:pic>
      <xdr:nvPicPr>
        <xdr:cNvPr id="2" name="Picture 2" descr="MAGNUM Remote Control">
          <a:extLst>
            <a:ext uri="{FF2B5EF4-FFF2-40B4-BE49-F238E27FC236}">
              <a16:creationId xmlns:a16="http://schemas.microsoft.com/office/drawing/2014/main" id="{4FF296AB-DBEB-4070-B132-6703CF4BD5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449425" y="3857625"/>
          <a:ext cx="1171574" cy="1085849"/>
        </a:xfrm>
        <a:prstGeom prst="rect">
          <a:avLst/>
        </a:prstGeom>
        <a:noFill/>
      </xdr:spPr>
    </xdr:pic>
    <xdr:clientData/>
  </xdr:twoCellAnchor>
  <xdr:twoCellAnchor editAs="oneCell">
    <xdr:from>
      <xdr:col>0</xdr:col>
      <xdr:colOff>104775</xdr:colOff>
      <xdr:row>0</xdr:row>
      <xdr:rowOff>114300</xdr:rowOff>
    </xdr:from>
    <xdr:to>
      <xdr:col>2</xdr:col>
      <xdr:colOff>692150</xdr:colOff>
      <xdr:row>0</xdr:row>
      <xdr:rowOff>1543050</xdr:rowOff>
    </xdr:to>
    <xdr:pic>
      <xdr:nvPicPr>
        <xdr:cNvPr id="6" name="Imagine 5">
          <a:extLst>
            <a:ext uri="{FF2B5EF4-FFF2-40B4-BE49-F238E27FC236}">
              <a16:creationId xmlns:a16="http://schemas.microsoft.com/office/drawing/2014/main" id="{882BA885-11AF-472C-9D4B-D594597D56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14300"/>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xdr:row>
      <xdr:rowOff>285749</xdr:rowOff>
    </xdr:from>
    <xdr:to>
      <xdr:col>2</xdr:col>
      <xdr:colOff>1134269</xdr:colOff>
      <xdr:row>14</xdr:row>
      <xdr:rowOff>31749</xdr:rowOff>
    </xdr:to>
    <xdr:pic>
      <xdr:nvPicPr>
        <xdr:cNvPr id="7" name="Imagine 6">
          <a:extLst>
            <a:ext uri="{FF2B5EF4-FFF2-40B4-BE49-F238E27FC236}">
              <a16:creationId xmlns:a16="http://schemas.microsoft.com/office/drawing/2014/main" id="{A7317642-EA46-42BA-93BD-02A6C1893EA0}"/>
            </a:ext>
          </a:extLst>
        </xdr:cNvPr>
        <xdr:cNvPicPr>
          <a:picLocks noChangeAspect="1"/>
        </xdr:cNvPicPr>
      </xdr:nvPicPr>
      <xdr:blipFill>
        <a:blip xmlns:r="http://schemas.openxmlformats.org/officeDocument/2006/relationships" r:embed="rId3"/>
        <a:stretch>
          <a:fillRect/>
        </a:stretch>
      </xdr:blipFill>
      <xdr:spPr>
        <a:xfrm>
          <a:off x="0" y="4562474"/>
          <a:ext cx="2064544" cy="1228725"/>
        </a:xfrm>
        <a:prstGeom prst="rect">
          <a:avLst/>
        </a:prstGeom>
      </xdr:spPr>
    </xdr:pic>
    <xdr:clientData/>
  </xdr:twoCellAnchor>
  <xdr:twoCellAnchor editAs="oneCell">
    <xdr:from>
      <xdr:col>2</xdr:col>
      <xdr:colOff>504825</xdr:colOff>
      <xdr:row>58</xdr:row>
      <xdr:rowOff>57149</xdr:rowOff>
    </xdr:from>
    <xdr:to>
      <xdr:col>3</xdr:col>
      <xdr:colOff>304800</xdr:colOff>
      <xdr:row>72</xdr:row>
      <xdr:rowOff>55412</xdr:rowOff>
    </xdr:to>
    <xdr:pic>
      <xdr:nvPicPr>
        <xdr:cNvPr id="8" name="Imagine 7">
          <a:extLst>
            <a:ext uri="{FF2B5EF4-FFF2-40B4-BE49-F238E27FC236}">
              <a16:creationId xmlns:a16="http://schemas.microsoft.com/office/drawing/2014/main" id="{D694F5D5-56DA-4E5C-9C37-25E91BF162D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38275" y="15906749"/>
          <a:ext cx="3962400" cy="2798613"/>
        </a:xfrm>
        <a:prstGeom prst="rect">
          <a:avLst/>
        </a:prstGeom>
      </xdr:spPr>
    </xdr:pic>
    <xdr:clientData/>
  </xdr:twoCellAnchor>
  <xdr:twoCellAnchor editAs="oneCell">
    <xdr:from>
      <xdr:col>3</xdr:col>
      <xdr:colOff>82551</xdr:colOff>
      <xdr:row>11</xdr:row>
      <xdr:rowOff>161926</xdr:rowOff>
    </xdr:from>
    <xdr:to>
      <xdr:col>4</xdr:col>
      <xdr:colOff>353504</xdr:colOff>
      <xdr:row>12</xdr:row>
      <xdr:rowOff>190500</xdr:rowOff>
    </xdr:to>
    <xdr:pic>
      <xdr:nvPicPr>
        <xdr:cNvPr id="12" name="Imagine 11">
          <a:extLst>
            <a:ext uri="{FF2B5EF4-FFF2-40B4-BE49-F238E27FC236}">
              <a16:creationId xmlns:a16="http://schemas.microsoft.com/office/drawing/2014/main" id="{8F94753A-3819-80CD-E1AA-D61E1F0D56A2}"/>
            </a:ext>
          </a:extLst>
        </xdr:cNvPr>
        <xdr:cNvPicPr>
          <a:picLocks noChangeAspect="1"/>
        </xdr:cNvPicPr>
      </xdr:nvPicPr>
      <xdr:blipFill>
        <a:blip xmlns:r="http://schemas.openxmlformats.org/officeDocument/2006/relationships" r:embed="rId5"/>
        <a:stretch>
          <a:fillRect/>
        </a:stretch>
      </xdr:blipFill>
      <xdr:spPr>
        <a:xfrm>
          <a:off x="5502276" y="3971926"/>
          <a:ext cx="680528" cy="523874"/>
        </a:xfrm>
        <a:prstGeom prst="rect">
          <a:avLst/>
        </a:prstGeom>
      </xdr:spPr>
    </xdr:pic>
    <xdr:clientData/>
  </xdr:twoCellAnchor>
  <xdr:twoCellAnchor editAs="oneCell">
    <xdr:from>
      <xdr:col>2</xdr:col>
      <xdr:colOff>1362076</xdr:colOff>
      <xdr:row>12</xdr:row>
      <xdr:rowOff>428626</xdr:rowOff>
    </xdr:from>
    <xdr:to>
      <xdr:col>2</xdr:col>
      <xdr:colOff>2590800</xdr:colOff>
      <xdr:row>13</xdr:row>
      <xdr:rowOff>482600</xdr:rowOff>
    </xdr:to>
    <xdr:pic>
      <xdr:nvPicPr>
        <xdr:cNvPr id="13" name="Imagine 12">
          <a:extLst>
            <a:ext uri="{FF2B5EF4-FFF2-40B4-BE49-F238E27FC236}">
              <a16:creationId xmlns:a16="http://schemas.microsoft.com/office/drawing/2014/main" id="{13CF2E1A-6E21-6143-5897-7262EA016E3C}"/>
            </a:ext>
          </a:extLst>
        </xdr:cNvPr>
        <xdr:cNvPicPr>
          <a:picLocks noChangeAspect="1"/>
        </xdr:cNvPicPr>
      </xdr:nvPicPr>
      <xdr:blipFill>
        <a:blip xmlns:r="http://schemas.openxmlformats.org/officeDocument/2006/relationships" r:embed="rId6"/>
        <a:stretch>
          <a:fillRect/>
        </a:stretch>
      </xdr:blipFill>
      <xdr:spPr>
        <a:xfrm>
          <a:off x="2295526" y="4791076"/>
          <a:ext cx="1228724" cy="552449"/>
        </a:xfrm>
        <a:prstGeom prst="rect">
          <a:avLst/>
        </a:prstGeom>
      </xdr:spPr>
    </xdr:pic>
    <xdr:clientData/>
  </xdr:twoCellAnchor>
  <xdr:twoCellAnchor editAs="oneCell">
    <xdr:from>
      <xdr:col>2</xdr:col>
      <xdr:colOff>2937819</xdr:colOff>
      <xdr:row>11</xdr:row>
      <xdr:rowOff>272105</xdr:rowOff>
    </xdr:from>
    <xdr:to>
      <xdr:col>2</xdr:col>
      <xdr:colOff>4085280</xdr:colOff>
      <xdr:row>13</xdr:row>
      <xdr:rowOff>313379</xdr:rowOff>
    </xdr:to>
    <xdr:pic>
      <xdr:nvPicPr>
        <xdr:cNvPr id="15" name="Imagine 14">
          <a:extLst>
            <a:ext uri="{FF2B5EF4-FFF2-40B4-BE49-F238E27FC236}">
              <a16:creationId xmlns:a16="http://schemas.microsoft.com/office/drawing/2014/main" id="{C8087FED-35F2-FA6F-A310-F053DDD0859E}"/>
            </a:ext>
          </a:extLst>
        </xdr:cNvPr>
        <xdr:cNvPicPr>
          <a:picLocks noChangeAspect="1"/>
        </xdr:cNvPicPr>
      </xdr:nvPicPr>
      <xdr:blipFill>
        <a:blip xmlns:r="http://schemas.openxmlformats.org/officeDocument/2006/relationships" r:embed="rId7"/>
        <a:stretch>
          <a:fillRect/>
        </a:stretch>
      </xdr:blipFill>
      <xdr:spPr>
        <a:xfrm rot="5400000">
          <a:off x="3933825" y="4076699"/>
          <a:ext cx="1028699" cy="1153811"/>
        </a:xfrm>
        <a:prstGeom prst="rect">
          <a:avLst/>
        </a:prstGeom>
      </xdr:spPr>
    </xdr:pic>
    <xdr:clientData/>
  </xdr:twoCellAnchor>
  <xdr:twoCellAnchor editAs="oneCell">
    <xdr:from>
      <xdr:col>2</xdr:col>
      <xdr:colOff>1228725</xdr:colOff>
      <xdr:row>11</xdr:row>
      <xdr:rowOff>190500</xdr:rowOff>
    </xdr:from>
    <xdr:to>
      <xdr:col>2</xdr:col>
      <xdr:colOff>2762250</xdr:colOff>
      <xdr:row>12</xdr:row>
      <xdr:rowOff>285749</xdr:rowOff>
    </xdr:to>
    <xdr:pic>
      <xdr:nvPicPr>
        <xdr:cNvPr id="11" name="Imagine 10">
          <a:extLst>
            <a:ext uri="{FF2B5EF4-FFF2-40B4-BE49-F238E27FC236}">
              <a16:creationId xmlns:a16="http://schemas.microsoft.com/office/drawing/2014/main" id="{5D35C5A3-B2DF-A535-F140-E02DACF1DDD6}"/>
            </a:ext>
          </a:extLst>
        </xdr:cNvPr>
        <xdr:cNvPicPr>
          <a:picLocks noChangeAspect="1"/>
        </xdr:cNvPicPr>
      </xdr:nvPicPr>
      <xdr:blipFill>
        <a:blip xmlns:r="http://schemas.openxmlformats.org/officeDocument/2006/relationships" r:embed="rId8"/>
        <a:stretch>
          <a:fillRect/>
        </a:stretch>
      </xdr:blipFill>
      <xdr:spPr>
        <a:xfrm>
          <a:off x="2162175" y="4057650"/>
          <a:ext cx="1533525" cy="590549"/>
        </a:xfrm>
        <a:prstGeom prst="rect">
          <a:avLst/>
        </a:prstGeom>
      </xdr:spPr>
    </xdr:pic>
    <xdr:clientData/>
  </xdr:twoCellAnchor>
  <xdr:twoCellAnchor editAs="oneCell">
    <xdr:from>
      <xdr:col>9</xdr:col>
      <xdr:colOff>371475</xdr:colOff>
      <xdr:row>11</xdr:row>
      <xdr:rowOff>180975</xdr:rowOff>
    </xdr:from>
    <xdr:to>
      <xdr:col>10</xdr:col>
      <xdr:colOff>361949</xdr:colOff>
      <xdr:row>12</xdr:row>
      <xdr:rowOff>495299</xdr:rowOff>
    </xdr:to>
    <xdr:pic>
      <xdr:nvPicPr>
        <xdr:cNvPr id="21" name="Imagine 20">
          <a:extLst>
            <a:ext uri="{FF2B5EF4-FFF2-40B4-BE49-F238E27FC236}">
              <a16:creationId xmlns:a16="http://schemas.microsoft.com/office/drawing/2014/main" id="{82B69D22-5EAF-4086-976B-25B313C8D2BD}"/>
            </a:ext>
          </a:extLst>
        </xdr:cNvPr>
        <xdr:cNvPicPr>
          <a:picLocks noChangeAspect="1"/>
        </xdr:cNvPicPr>
      </xdr:nvPicPr>
      <xdr:blipFill>
        <a:blip xmlns:r="http://schemas.openxmlformats.org/officeDocument/2006/relationships" r:embed="rId9"/>
        <a:stretch>
          <a:fillRect/>
        </a:stretch>
      </xdr:blipFill>
      <xdr:spPr>
        <a:xfrm>
          <a:off x="8582025" y="4048125"/>
          <a:ext cx="761999" cy="809624"/>
        </a:xfrm>
        <a:prstGeom prst="rect">
          <a:avLst/>
        </a:prstGeom>
      </xdr:spPr>
    </xdr:pic>
    <xdr:clientData/>
  </xdr:twoCellAnchor>
  <xdr:twoCellAnchor editAs="oneCell">
    <xdr:from>
      <xdr:col>5</xdr:col>
      <xdr:colOff>206375</xdr:colOff>
      <xdr:row>11</xdr:row>
      <xdr:rowOff>482600</xdr:rowOff>
    </xdr:from>
    <xdr:to>
      <xdr:col>6</xdr:col>
      <xdr:colOff>352542</xdr:colOff>
      <xdr:row>13</xdr:row>
      <xdr:rowOff>362071</xdr:rowOff>
    </xdr:to>
    <xdr:pic>
      <xdr:nvPicPr>
        <xdr:cNvPr id="10" name="Imagine 9">
          <a:extLst>
            <a:ext uri="{FF2B5EF4-FFF2-40B4-BE49-F238E27FC236}">
              <a16:creationId xmlns:a16="http://schemas.microsoft.com/office/drawing/2014/main" id="{CBFB0CBB-6862-4A44-BDB4-475F6F606D21}"/>
            </a:ext>
          </a:extLst>
        </xdr:cNvPr>
        <xdr:cNvPicPr>
          <a:picLocks noChangeAspect="1"/>
        </xdr:cNvPicPr>
      </xdr:nvPicPr>
      <xdr:blipFill>
        <a:blip xmlns:r="http://schemas.openxmlformats.org/officeDocument/2006/relationships" r:embed="rId10"/>
        <a:stretch>
          <a:fillRect/>
        </a:stretch>
      </xdr:blipFill>
      <xdr:spPr>
        <a:xfrm>
          <a:off x="6464300" y="4292600"/>
          <a:ext cx="879592" cy="870071"/>
        </a:xfrm>
        <a:prstGeom prst="rect">
          <a:avLst/>
        </a:prstGeom>
      </xdr:spPr>
    </xdr:pic>
    <xdr:clientData/>
  </xdr:twoCellAnchor>
  <xdr:twoCellAnchor editAs="oneCell">
    <xdr:from>
      <xdr:col>10</xdr:col>
      <xdr:colOff>561975</xdr:colOff>
      <xdr:row>11</xdr:row>
      <xdr:rowOff>152400</xdr:rowOff>
    </xdr:from>
    <xdr:to>
      <xdr:col>11</xdr:col>
      <xdr:colOff>825622</xdr:colOff>
      <xdr:row>13</xdr:row>
      <xdr:rowOff>19170</xdr:rowOff>
    </xdr:to>
    <xdr:pic>
      <xdr:nvPicPr>
        <xdr:cNvPr id="14" name="Imagine 13">
          <a:extLst>
            <a:ext uri="{FF2B5EF4-FFF2-40B4-BE49-F238E27FC236}">
              <a16:creationId xmlns:a16="http://schemas.microsoft.com/office/drawing/2014/main" id="{5BD8EEEE-0490-4F0B-A438-6116EB0C643A}"/>
            </a:ext>
          </a:extLst>
        </xdr:cNvPr>
        <xdr:cNvPicPr>
          <a:picLocks noChangeAspect="1"/>
        </xdr:cNvPicPr>
      </xdr:nvPicPr>
      <xdr:blipFill>
        <a:blip xmlns:r="http://schemas.openxmlformats.org/officeDocument/2006/relationships" r:embed="rId11"/>
        <a:stretch>
          <a:fillRect/>
        </a:stretch>
      </xdr:blipFill>
      <xdr:spPr>
        <a:xfrm>
          <a:off x="9544050" y="4019550"/>
          <a:ext cx="876422" cy="857370"/>
        </a:xfrm>
        <a:prstGeom prst="rect">
          <a:avLst/>
        </a:prstGeom>
      </xdr:spPr>
    </xdr:pic>
    <xdr:clientData/>
  </xdr:twoCellAnchor>
  <xdr:twoCellAnchor editAs="oneCell">
    <xdr:from>
      <xdr:col>13</xdr:col>
      <xdr:colOff>0</xdr:colOff>
      <xdr:row>12</xdr:row>
      <xdr:rowOff>0</xdr:rowOff>
    </xdr:from>
    <xdr:to>
      <xdr:col>13</xdr:col>
      <xdr:colOff>552450</xdr:colOff>
      <xdr:row>13</xdr:row>
      <xdr:rowOff>63944</xdr:rowOff>
    </xdr:to>
    <xdr:pic>
      <xdr:nvPicPr>
        <xdr:cNvPr id="16" name="Imagine 15">
          <a:extLst>
            <a:ext uri="{FF2B5EF4-FFF2-40B4-BE49-F238E27FC236}">
              <a16:creationId xmlns:a16="http://schemas.microsoft.com/office/drawing/2014/main" id="{EDA60688-C0C7-4E36-BBE4-D7909997AFCF}"/>
            </a:ext>
          </a:extLst>
        </xdr:cNvPr>
        <xdr:cNvPicPr>
          <a:picLocks noChangeAspect="1"/>
        </xdr:cNvPicPr>
      </xdr:nvPicPr>
      <xdr:blipFill>
        <a:blip xmlns:r="http://schemas.openxmlformats.org/officeDocument/2006/relationships" r:embed="rId12"/>
        <a:stretch>
          <a:fillRect/>
        </a:stretch>
      </xdr:blipFill>
      <xdr:spPr>
        <a:xfrm>
          <a:off x="11220450" y="4362450"/>
          <a:ext cx="552450" cy="556069"/>
        </a:xfrm>
        <a:prstGeom prst="rect">
          <a:avLst/>
        </a:prstGeom>
      </xdr:spPr>
    </xdr:pic>
    <xdr:clientData/>
  </xdr:twoCellAnchor>
  <xdr:twoCellAnchor editAs="oneCell">
    <xdr:from>
      <xdr:col>15</xdr:col>
      <xdr:colOff>0</xdr:colOff>
      <xdr:row>12</xdr:row>
      <xdr:rowOff>0</xdr:rowOff>
    </xdr:from>
    <xdr:to>
      <xdr:col>15</xdr:col>
      <xdr:colOff>561975</xdr:colOff>
      <xdr:row>13</xdr:row>
      <xdr:rowOff>105082</xdr:rowOff>
    </xdr:to>
    <xdr:pic>
      <xdr:nvPicPr>
        <xdr:cNvPr id="4" name="Picture 3">
          <a:extLst>
            <a:ext uri="{FF2B5EF4-FFF2-40B4-BE49-F238E27FC236}">
              <a16:creationId xmlns:a16="http://schemas.microsoft.com/office/drawing/2014/main" id="{F30EE867-E4AC-4EBB-80F3-D20F36C845C0}"/>
            </a:ext>
          </a:extLst>
        </xdr:cNvPr>
        <xdr:cNvPicPr>
          <a:picLocks noChangeAspect="1"/>
        </xdr:cNvPicPr>
      </xdr:nvPicPr>
      <xdr:blipFill>
        <a:blip xmlns:r="http://schemas.openxmlformats.org/officeDocument/2006/relationships" r:embed="rId13"/>
        <a:stretch>
          <a:fillRect/>
        </a:stretch>
      </xdr:blipFill>
      <xdr:spPr>
        <a:xfrm>
          <a:off x="13487400" y="4305300"/>
          <a:ext cx="561975" cy="600382"/>
        </a:xfrm>
        <a:prstGeom prst="rect">
          <a:avLst/>
        </a:prstGeom>
      </xdr:spPr>
    </xdr:pic>
    <xdr:clientData/>
  </xdr:twoCellAnchor>
  <xdr:twoCellAnchor editAs="oneCell">
    <xdr:from>
      <xdr:col>3</xdr:col>
      <xdr:colOff>25402</xdr:colOff>
      <xdr:row>12</xdr:row>
      <xdr:rowOff>400049</xdr:rowOff>
    </xdr:from>
    <xdr:to>
      <xdr:col>5</xdr:col>
      <xdr:colOff>9525</xdr:colOff>
      <xdr:row>14</xdr:row>
      <xdr:rowOff>9669</xdr:rowOff>
    </xdr:to>
    <xdr:pic>
      <xdr:nvPicPr>
        <xdr:cNvPr id="3" name="Picture 2">
          <a:extLst>
            <a:ext uri="{FF2B5EF4-FFF2-40B4-BE49-F238E27FC236}">
              <a16:creationId xmlns:a16="http://schemas.microsoft.com/office/drawing/2014/main" id="{5EC6EF96-1D66-3DCB-CB10-A724A691E7B6}"/>
            </a:ext>
          </a:extLst>
        </xdr:cNvPr>
        <xdr:cNvPicPr>
          <a:picLocks noChangeAspect="1"/>
        </xdr:cNvPicPr>
      </xdr:nvPicPr>
      <xdr:blipFill>
        <a:blip xmlns:r="http://schemas.openxmlformats.org/officeDocument/2006/relationships" r:embed="rId14"/>
        <a:stretch>
          <a:fillRect/>
        </a:stretch>
      </xdr:blipFill>
      <xdr:spPr>
        <a:xfrm>
          <a:off x="5445127" y="4705349"/>
          <a:ext cx="812798" cy="600220"/>
        </a:xfrm>
        <a:prstGeom prst="rect">
          <a:avLst/>
        </a:prstGeom>
      </xdr:spPr>
    </xdr:pic>
    <xdr:clientData/>
  </xdr:twoCellAnchor>
  <xdr:twoCellAnchor editAs="oneCell">
    <xdr:from>
      <xdr:col>7</xdr:col>
      <xdr:colOff>47625</xdr:colOff>
      <xdr:row>11</xdr:row>
      <xdr:rowOff>161925</xdr:rowOff>
    </xdr:from>
    <xdr:to>
      <xdr:col>9</xdr:col>
      <xdr:colOff>66808</xdr:colOff>
      <xdr:row>13</xdr:row>
      <xdr:rowOff>149361</xdr:rowOff>
    </xdr:to>
    <xdr:pic>
      <xdr:nvPicPr>
        <xdr:cNvPr id="5" name="Picture 4">
          <a:extLst>
            <a:ext uri="{FF2B5EF4-FFF2-40B4-BE49-F238E27FC236}">
              <a16:creationId xmlns:a16="http://schemas.microsoft.com/office/drawing/2014/main" id="{376EB85F-6EDC-42D4-9BDA-2D277CA4E0AF}"/>
            </a:ext>
          </a:extLst>
        </xdr:cNvPr>
        <xdr:cNvPicPr>
          <a:picLocks noChangeAspect="1"/>
        </xdr:cNvPicPr>
      </xdr:nvPicPr>
      <xdr:blipFill>
        <a:blip xmlns:r="http://schemas.openxmlformats.org/officeDocument/2006/relationships" r:embed="rId15"/>
        <a:stretch>
          <a:fillRect/>
        </a:stretch>
      </xdr:blipFill>
      <xdr:spPr>
        <a:xfrm>
          <a:off x="7877175" y="3971925"/>
          <a:ext cx="949458" cy="978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349250</xdr:colOff>
      <xdr:row>10</xdr:row>
      <xdr:rowOff>349250</xdr:rowOff>
    </xdr:from>
    <xdr:to>
      <xdr:col>20</xdr:col>
      <xdr:colOff>171449</xdr:colOff>
      <xdr:row>13</xdr:row>
      <xdr:rowOff>38099</xdr:rowOff>
    </xdr:to>
    <xdr:pic>
      <xdr:nvPicPr>
        <xdr:cNvPr id="2" name="Picture 2" descr="MAGNUM Remote Control">
          <a:extLst>
            <a:ext uri="{FF2B5EF4-FFF2-40B4-BE49-F238E27FC236}">
              <a16:creationId xmlns:a16="http://schemas.microsoft.com/office/drawing/2014/main" id="{80E0478F-7741-4084-81D1-1E62794B79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141575" y="3683000"/>
          <a:ext cx="1155699" cy="1089024"/>
        </a:xfrm>
        <a:prstGeom prst="rect">
          <a:avLst/>
        </a:prstGeom>
        <a:noFill/>
      </xdr:spPr>
    </xdr:pic>
    <xdr:clientData/>
  </xdr:twoCellAnchor>
  <xdr:twoCellAnchor editAs="oneCell">
    <xdr:from>
      <xdr:col>0</xdr:col>
      <xdr:colOff>104775</xdr:colOff>
      <xdr:row>0</xdr:row>
      <xdr:rowOff>114300</xdr:rowOff>
    </xdr:from>
    <xdr:to>
      <xdr:col>2</xdr:col>
      <xdr:colOff>695325</xdr:colOff>
      <xdr:row>0</xdr:row>
      <xdr:rowOff>1543050</xdr:rowOff>
    </xdr:to>
    <xdr:pic>
      <xdr:nvPicPr>
        <xdr:cNvPr id="6" name="Imagine 5">
          <a:extLst>
            <a:ext uri="{FF2B5EF4-FFF2-40B4-BE49-F238E27FC236}">
              <a16:creationId xmlns:a16="http://schemas.microsoft.com/office/drawing/2014/main" id="{E1B95483-BEE3-487B-8083-8F2A2EF46D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14300"/>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352425</xdr:colOff>
      <xdr:row>12</xdr:row>
      <xdr:rowOff>228600</xdr:rowOff>
    </xdr:from>
    <xdr:to>
      <xdr:col>2</xdr:col>
      <xdr:colOff>2279281</xdr:colOff>
      <xdr:row>16</xdr:row>
      <xdr:rowOff>38100</xdr:rowOff>
    </xdr:to>
    <xdr:pic>
      <xdr:nvPicPr>
        <xdr:cNvPr id="7" name="Imagine 6">
          <a:extLst>
            <a:ext uri="{FF2B5EF4-FFF2-40B4-BE49-F238E27FC236}">
              <a16:creationId xmlns:a16="http://schemas.microsoft.com/office/drawing/2014/main" id="{E060CEAD-B01B-4789-ABC0-A60A9752D79D}"/>
            </a:ext>
          </a:extLst>
        </xdr:cNvPr>
        <xdr:cNvPicPr>
          <a:picLocks noChangeAspect="1"/>
        </xdr:cNvPicPr>
      </xdr:nvPicPr>
      <xdr:blipFill>
        <a:blip xmlns:r="http://schemas.openxmlformats.org/officeDocument/2006/relationships" r:embed="rId3"/>
        <a:stretch>
          <a:fillRect/>
        </a:stretch>
      </xdr:blipFill>
      <xdr:spPr>
        <a:xfrm>
          <a:off x="1285875" y="4524375"/>
          <a:ext cx="1920506" cy="1143000"/>
        </a:xfrm>
        <a:prstGeom prst="rect">
          <a:avLst/>
        </a:prstGeom>
      </xdr:spPr>
    </xdr:pic>
    <xdr:clientData/>
  </xdr:twoCellAnchor>
  <xdr:twoCellAnchor editAs="oneCell">
    <xdr:from>
      <xdr:col>0</xdr:col>
      <xdr:colOff>352425</xdr:colOff>
      <xdr:row>78</xdr:row>
      <xdr:rowOff>161925</xdr:rowOff>
    </xdr:from>
    <xdr:to>
      <xdr:col>2</xdr:col>
      <xdr:colOff>2552700</xdr:colOff>
      <xdr:row>86</xdr:row>
      <xdr:rowOff>28926</xdr:rowOff>
    </xdr:to>
    <xdr:pic>
      <xdr:nvPicPr>
        <xdr:cNvPr id="8" name="Imagine 7">
          <a:extLst>
            <a:ext uri="{FF2B5EF4-FFF2-40B4-BE49-F238E27FC236}">
              <a16:creationId xmlns:a16="http://schemas.microsoft.com/office/drawing/2014/main" id="{30804A99-DC68-403F-A731-47DBDD79144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2425" y="20983575"/>
          <a:ext cx="3133725" cy="2213326"/>
        </a:xfrm>
        <a:prstGeom prst="rect">
          <a:avLst/>
        </a:prstGeom>
      </xdr:spPr>
    </xdr:pic>
    <xdr:clientData/>
  </xdr:twoCellAnchor>
  <xdr:twoCellAnchor editAs="oneCell">
    <xdr:from>
      <xdr:col>5</xdr:col>
      <xdr:colOff>466726</xdr:colOff>
      <xdr:row>11</xdr:row>
      <xdr:rowOff>57151</xdr:rowOff>
    </xdr:from>
    <xdr:to>
      <xdr:col>6</xdr:col>
      <xdr:colOff>445579</xdr:colOff>
      <xdr:row>12</xdr:row>
      <xdr:rowOff>85725</xdr:rowOff>
    </xdr:to>
    <xdr:pic>
      <xdr:nvPicPr>
        <xdr:cNvPr id="10" name="Imagine 9">
          <a:extLst>
            <a:ext uri="{FF2B5EF4-FFF2-40B4-BE49-F238E27FC236}">
              <a16:creationId xmlns:a16="http://schemas.microsoft.com/office/drawing/2014/main" id="{127050F2-1BD2-4D05-BCBF-BA2D0ECB0536}"/>
            </a:ext>
          </a:extLst>
        </xdr:cNvPr>
        <xdr:cNvPicPr>
          <a:picLocks noChangeAspect="1"/>
        </xdr:cNvPicPr>
      </xdr:nvPicPr>
      <xdr:blipFill>
        <a:blip xmlns:r="http://schemas.openxmlformats.org/officeDocument/2006/relationships" r:embed="rId5"/>
        <a:stretch>
          <a:fillRect/>
        </a:stretch>
      </xdr:blipFill>
      <xdr:spPr>
        <a:xfrm>
          <a:off x="6724651" y="3800476"/>
          <a:ext cx="686878" cy="520699"/>
        </a:xfrm>
        <a:prstGeom prst="rect">
          <a:avLst/>
        </a:prstGeom>
      </xdr:spPr>
    </xdr:pic>
    <xdr:clientData/>
  </xdr:twoCellAnchor>
  <xdr:twoCellAnchor editAs="oneCell">
    <xdr:from>
      <xdr:col>3</xdr:col>
      <xdr:colOff>371476</xdr:colOff>
      <xdr:row>12</xdr:row>
      <xdr:rowOff>425451</xdr:rowOff>
    </xdr:from>
    <xdr:to>
      <xdr:col>5</xdr:col>
      <xdr:colOff>372714</xdr:colOff>
      <xdr:row>14</xdr:row>
      <xdr:rowOff>161926</xdr:rowOff>
    </xdr:to>
    <xdr:pic>
      <xdr:nvPicPr>
        <xdr:cNvPr id="11" name="Imagine 10">
          <a:extLst>
            <a:ext uri="{FF2B5EF4-FFF2-40B4-BE49-F238E27FC236}">
              <a16:creationId xmlns:a16="http://schemas.microsoft.com/office/drawing/2014/main" id="{685956BA-8485-4322-B88D-070E3CEC5BAA}"/>
            </a:ext>
          </a:extLst>
        </xdr:cNvPr>
        <xdr:cNvPicPr>
          <a:picLocks noChangeAspect="1"/>
        </xdr:cNvPicPr>
      </xdr:nvPicPr>
      <xdr:blipFill>
        <a:blip xmlns:r="http://schemas.openxmlformats.org/officeDocument/2006/relationships" r:embed="rId6"/>
        <a:stretch>
          <a:fillRect/>
        </a:stretch>
      </xdr:blipFill>
      <xdr:spPr>
        <a:xfrm>
          <a:off x="5391151" y="4692651"/>
          <a:ext cx="1106138" cy="727075"/>
        </a:xfrm>
        <a:prstGeom prst="rect">
          <a:avLst/>
        </a:prstGeom>
      </xdr:spPr>
    </xdr:pic>
    <xdr:clientData/>
  </xdr:twoCellAnchor>
  <xdr:twoCellAnchor editAs="oneCell">
    <xdr:from>
      <xdr:col>2</xdr:col>
      <xdr:colOff>2518718</xdr:colOff>
      <xdr:row>12</xdr:row>
      <xdr:rowOff>357831</xdr:rowOff>
    </xdr:from>
    <xdr:to>
      <xdr:col>3</xdr:col>
      <xdr:colOff>171450</xdr:colOff>
      <xdr:row>15</xdr:row>
      <xdr:rowOff>112931</xdr:rowOff>
    </xdr:to>
    <xdr:pic>
      <xdr:nvPicPr>
        <xdr:cNvPr id="12" name="Imagine 11">
          <a:extLst>
            <a:ext uri="{FF2B5EF4-FFF2-40B4-BE49-F238E27FC236}">
              <a16:creationId xmlns:a16="http://schemas.microsoft.com/office/drawing/2014/main" id="{2A893073-E413-4F18-9F77-0FD1B85D3E4B}"/>
            </a:ext>
          </a:extLst>
        </xdr:cNvPr>
        <xdr:cNvPicPr>
          <a:picLocks noChangeAspect="1"/>
        </xdr:cNvPicPr>
      </xdr:nvPicPr>
      <xdr:blipFill>
        <a:blip xmlns:r="http://schemas.openxmlformats.org/officeDocument/2006/relationships" r:embed="rId7"/>
        <a:stretch>
          <a:fillRect/>
        </a:stretch>
      </xdr:blipFill>
      <xdr:spPr>
        <a:xfrm rot="5400000">
          <a:off x="3739246" y="4366528"/>
          <a:ext cx="945725" cy="1519882"/>
        </a:xfrm>
        <a:prstGeom prst="rect">
          <a:avLst/>
        </a:prstGeom>
      </xdr:spPr>
    </xdr:pic>
    <xdr:clientData/>
  </xdr:twoCellAnchor>
  <xdr:twoCellAnchor editAs="oneCell">
    <xdr:from>
      <xdr:col>2</xdr:col>
      <xdr:colOff>971550</xdr:colOff>
      <xdr:row>11</xdr:row>
      <xdr:rowOff>85725</xdr:rowOff>
    </xdr:from>
    <xdr:to>
      <xdr:col>2</xdr:col>
      <xdr:colOff>2809875</xdr:colOff>
      <xdr:row>12</xdr:row>
      <xdr:rowOff>180974</xdr:rowOff>
    </xdr:to>
    <xdr:pic>
      <xdr:nvPicPr>
        <xdr:cNvPr id="13" name="Imagine 12">
          <a:extLst>
            <a:ext uri="{FF2B5EF4-FFF2-40B4-BE49-F238E27FC236}">
              <a16:creationId xmlns:a16="http://schemas.microsoft.com/office/drawing/2014/main" id="{F81B64B9-0D86-4DF6-953D-BE3712EFB304}"/>
            </a:ext>
          </a:extLst>
        </xdr:cNvPr>
        <xdr:cNvPicPr>
          <a:picLocks noChangeAspect="1"/>
        </xdr:cNvPicPr>
      </xdr:nvPicPr>
      <xdr:blipFill>
        <a:blip xmlns:r="http://schemas.openxmlformats.org/officeDocument/2006/relationships" r:embed="rId8"/>
        <a:stretch>
          <a:fillRect/>
        </a:stretch>
      </xdr:blipFill>
      <xdr:spPr>
        <a:xfrm>
          <a:off x="1905000" y="3886200"/>
          <a:ext cx="1838325" cy="590549"/>
        </a:xfrm>
        <a:prstGeom prst="rect">
          <a:avLst/>
        </a:prstGeom>
      </xdr:spPr>
    </xdr:pic>
    <xdr:clientData/>
  </xdr:twoCellAnchor>
  <xdr:twoCellAnchor editAs="oneCell">
    <xdr:from>
      <xdr:col>14</xdr:col>
      <xdr:colOff>167377</xdr:colOff>
      <xdr:row>120</xdr:row>
      <xdr:rowOff>104775</xdr:rowOff>
    </xdr:from>
    <xdr:to>
      <xdr:col>20</xdr:col>
      <xdr:colOff>466725</xdr:colOff>
      <xdr:row>142</xdr:row>
      <xdr:rowOff>8045</xdr:rowOff>
    </xdr:to>
    <xdr:pic>
      <xdr:nvPicPr>
        <xdr:cNvPr id="16" name="Imagine 15">
          <a:extLst>
            <a:ext uri="{FF2B5EF4-FFF2-40B4-BE49-F238E27FC236}">
              <a16:creationId xmlns:a16="http://schemas.microsoft.com/office/drawing/2014/main" id="{127D5472-DE35-4A86-B8AF-C6C84DD9703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0616302" y="27727275"/>
          <a:ext cx="4080773" cy="3052870"/>
        </a:xfrm>
        <a:prstGeom prst="rect">
          <a:avLst/>
        </a:prstGeom>
      </xdr:spPr>
    </xdr:pic>
    <xdr:clientData/>
  </xdr:twoCellAnchor>
  <xdr:oneCellAnchor>
    <xdr:from>
      <xdr:col>0</xdr:col>
      <xdr:colOff>219075</xdr:colOff>
      <xdr:row>11</xdr:row>
      <xdr:rowOff>133349</xdr:rowOff>
    </xdr:from>
    <xdr:ext cx="1545680" cy="1362075"/>
    <xdr:pic>
      <xdr:nvPicPr>
        <xdr:cNvPr id="17" name="Picture 27" descr="Imagini pentru magnum underfloor heating mat">
          <a:extLst>
            <a:ext uri="{FF2B5EF4-FFF2-40B4-BE49-F238E27FC236}">
              <a16:creationId xmlns:a16="http://schemas.microsoft.com/office/drawing/2014/main" id="{DEDC7D71-C7F4-4723-8D79-9B96DD1EF47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19075" y="4410074"/>
          <a:ext cx="1545680" cy="1362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3105149</xdr:colOff>
      <xdr:row>78</xdr:row>
      <xdr:rowOff>47625</xdr:rowOff>
    </xdr:from>
    <xdr:to>
      <xdr:col>6</xdr:col>
      <xdr:colOff>517524</xdr:colOff>
      <xdr:row>89</xdr:row>
      <xdr:rowOff>9688</xdr:rowOff>
    </xdr:to>
    <xdr:pic>
      <xdr:nvPicPr>
        <xdr:cNvPr id="19" name="Imagine 18">
          <a:extLst>
            <a:ext uri="{FF2B5EF4-FFF2-40B4-BE49-F238E27FC236}">
              <a16:creationId xmlns:a16="http://schemas.microsoft.com/office/drawing/2014/main" id="{0182B56E-AAED-4536-B945-3EF03478640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38599" y="20869275"/>
          <a:ext cx="3000375" cy="2914813"/>
        </a:xfrm>
        <a:prstGeom prst="rect">
          <a:avLst/>
        </a:prstGeom>
      </xdr:spPr>
    </xdr:pic>
    <xdr:clientData/>
  </xdr:twoCellAnchor>
  <xdr:twoCellAnchor editAs="oneCell">
    <xdr:from>
      <xdr:col>16</xdr:col>
      <xdr:colOff>38099</xdr:colOff>
      <xdr:row>11</xdr:row>
      <xdr:rowOff>419100</xdr:rowOff>
    </xdr:from>
    <xdr:to>
      <xdr:col>16</xdr:col>
      <xdr:colOff>574656</xdr:colOff>
      <xdr:row>12</xdr:row>
      <xdr:rowOff>457200</xdr:rowOff>
    </xdr:to>
    <xdr:pic>
      <xdr:nvPicPr>
        <xdr:cNvPr id="21" name="Imagine 20">
          <a:extLst>
            <a:ext uri="{FF2B5EF4-FFF2-40B4-BE49-F238E27FC236}">
              <a16:creationId xmlns:a16="http://schemas.microsoft.com/office/drawing/2014/main" id="{91EFB4D9-C192-44F9-82FC-A868EB6FF61D}"/>
            </a:ext>
          </a:extLst>
        </xdr:cNvPr>
        <xdr:cNvPicPr>
          <a:picLocks noChangeAspect="1"/>
        </xdr:cNvPicPr>
      </xdr:nvPicPr>
      <xdr:blipFill>
        <a:blip xmlns:r="http://schemas.openxmlformats.org/officeDocument/2006/relationships" r:embed="rId12"/>
        <a:stretch>
          <a:fillRect/>
        </a:stretch>
      </xdr:blipFill>
      <xdr:spPr>
        <a:xfrm>
          <a:off x="13325474" y="4219575"/>
          <a:ext cx="536557" cy="533400"/>
        </a:xfrm>
        <a:prstGeom prst="rect">
          <a:avLst/>
        </a:prstGeom>
      </xdr:spPr>
    </xdr:pic>
    <xdr:clientData/>
  </xdr:twoCellAnchor>
  <xdr:twoCellAnchor editAs="oneCell">
    <xdr:from>
      <xdr:col>9</xdr:col>
      <xdr:colOff>0</xdr:colOff>
      <xdr:row>11</xdr:row>
      <xdr:rowOff>95250</xdr:rowOff>
    </xdr:from>
    <xdr:to>
      <xdr:col>9</xdr:col>
      <xdr:colOff>761999</xdr:colOff>
      <xdr:row>12</xdr:row>
      <xdr:rowOff>409574</xdr:rowOff>
    </xdr:to>
    <xdr:pic>
      <xdr:nvPicPr>
        <xdr:cNvPr id="5" name="Imagine 4">
          <a:extLst>
            <a:ext uri="{FF2B5EF4-FFF2-40B4-BE49-F238E27FC236}">
              <a16:creationId xmlns:a16="http://schemas.microsoft.com/office/drawing/2014/main" id="{4886D05D-E1C3-4050-87C3-D72638D533CF}"/>
            </a:ext>
          </a:extLst>
        </xdr:cNvPr>
        <xdr:cNvPicPr>
          <a:picLocks noChangeAspect="1"/>
        </xdr:cNvPicPr>
      </xdr:nvPicPr>
      <xdr:blipFill>
        <a:blip xmlns:r="http://schemas.openxmlformats.org/officeDocument/2006/relationships" r:embed="rId13"/>
        <a:stretch>
          <a:fillRect/>
        </a:stretch>
      </xdr:blipFill>
      <xdr:spPr>
        <a:xfrm>
          <a:off x="8229600" y="3895725"/>
          <a:ext cx="761999" cy="809624"/>
        </a:xfrm>
        <a:prstGeom prst="rect">
          <a:avLst/>
        </a:prstGeom>
      </xdr:spPr>
    </xdr:pic>
    <xdr:clientData/>
  </xdr:twoCellAnchor>
  <xdr:twoCellAnchor editAs="oneCell">
    <xdr:from>
      <xdr:col>12</xdr:col>
      <xdr:colOff>409575</xdr:colOff>
      <xdr:row>11</xdr:row>
      <xdr:rowOff>38100</xdr:rowOff>
    </xdr:from>
    <xdr:to>
      <xdr:col>14</xdr:col>
      <xdr:colOff>76322</xdr:colOff>
      <xdr:row>12</xdr:row>
      <xdr:rowOff>400170</xdr:rowOff>
    </xdr:to>
    <xdr:pic>
      <xdr:nvPicPr>
        <xdr:cNvPr id="15" name="Imagine 14">
          <a:extLst>
            <a:ext uri="{FF2B5EF4-FFF2-40B4-BE49-F238E27FC236}">
              <a16:creationId xmlns:a16="http://schemas.microsoft.com/office/drawing/2014/main" id="{7F81C28E-BE64-495E-91DA-52D987EC0F29}"/>
            </a:ext>
          </a:extLst>
        </xdr:cNvPr>
        <xdr:cNvPicPr>
          <a:picLocks noChangeAspect="1"/>
        </xdr:cNvPicPr>
      </xdr:nvPicPr>
      <xdr:blipFill>
        <a:blip xmlns:r="http://schemas.openxmlformats.org/officeDocument/2006/relationships" r:embed="rId14"/>
        <a:stretch>
          <a:fillRect/>
        </a:stretch>
      </xdr:blipFill>
      <xdr:spPr>
        <a:xfrm>
          <a:off x="10934700" y="3838575"/>
          <a:ext cx="876422" cy="857370"/>
        </a:xfrm>
        <a:prstGeom prst="rect">
          <a:avLst/>
        </a:prstGeom>
      </xdr:spPr>
    </xdr:pic>
    <xdr:clientData/>
  </xdr:twoCellAnchor>
  <xdr:twoCellAnchor editAs="oneCell">
    <xdr:from>
      <xdr:col>5</xdr:col>
      <xdr:colOff>485775</xdr:colOff>
      <xdr:row>12</xdr:row>
      <xdr:rowOff>95250</xdr:rowOff>
    </xdr:from>
    <xdr:to>
      <xdr:col>6</xdr:col>
      <xdr:colOff>647817</xdr:colOff>
      <xdr:row>13</xdr:row>
      <xdr:rowOff>466846</xdr:rowOff>
    </xdr:to>
    <xdr:pic>
      <xdr:nvPicPr>
        <xdr:cNvPr id="20" name="Imagine 19">
          <a:extLst>
            <a:ext uri="{FF2B5EF4-FFF2-40B4-BE49-F238E27FC236}">
              <a16:creationId xmlns:a16="http://schemas.microsoft.com/office/drawing/2014/main" id="{B40846AD-B9F2-42CC-9324-68FF7FD6CB0B}"/>
            </a:ext>
          </a:extLst>
        </xdr:cNvPr>
        <xdr:cNvPicPr>
          <a:picLocks noChangeAspect="1"/>
        </xdr:cNvPicPr>
      </xdr:nvPicPr>
      <xdr:blipFill>
        <a:blip xmlns:r="http://schemas.openxmlformats.org/officeDocument/2006/relationships" r:embed="rId15"/>
        <a:stretch>
          <a:fillRect/>
        </a:stretch>
      </xdr:blipFill>
      <xdr:spPr>
        <a:xfrm>
          <a:off x="6391275" y="4391025"/>
          <a:ext cx="838317" cy="866896"/>
        </a:xfrm>
        <a:prstGeom prst="rect">
          <a:avLst/>
        </a:prstGeom>
      </xdr:spPr>
    </xdr:pic>
    <xdr:clientData/>
  </xdr:twoCellAnchor>
  <xdr:twoCellAnchor editAs="oneCell">
    <xdr:from>
      <xdr:col>2</xdr:col>
      <xdr:colOff>2901950</xdr:colOff>
      <xdr:row>10</xdr:row>
      <xdr:rowOff>381000</xdr:rowOff>
    </xdr:from>
    <xdr:to>
      <xdr:col>3</xdr:col>
      <xdr:colOff>615950</xdr:colOff>
      <xdr:row>12</xdr:row>
      <xdr:rowOff>264065</xdr:rowOff>
    </xdr:to>
    <xdr:pic>
      <xdr:nvPicPr>
        <xdr:cNvPr id="24" name="Imagine 23">
          <a:extLst>
            <a:ext uri="{FF2B5EF4-FFF2-40B4-BE49-F238E27FC236}">
              <a16:creationId xmlns:a16="http://schemas.microsoft.com/office/drawing/2014/main" id="{ECA106AC-0BBB-4CB1-B31C-4551EC294133}"/>
            </a:ext>
          </a:extLst>
        </xdr:cNvPr>
        <xdr:cNvPicPr>
          <a:picLocks noChangeAspect="1"/>
        </xdr:cNvPicPr>
      </xdr:nvPicPr>
      <xdr:blipFill>
        <a:blip xmlns:r="http://schemas.openxmlformats.org/officeDocument/2006/relationships" r:embed="rId16"/>
        <a:stretch>
          <a:fillRect/>
        </a:stretch>
      </xdr:blipFill>
      <xdr:spPr>
        <a:xfrm rot="21392666">
          <a:off x="3873500" y="3714750"/>
          <a:ext cx="1765300" cy="787940"/>
        </a:xfrm>
        <a:prstGeom prst="rect">
          <a:avLst/>
        </a:prstGeom>
      </xdr:spPr>
    </xdr:pic>
    <xdr:clientData/>
  </xdr:twoCellAnchor>
  <xdr:twoCellAnchor editAs="oneCell">
    <xdr:from>
      <xdr:col>15</xdr:col>
      <xdr:colOff>0</xdr:colOff>
      <xdr:row>12</xdr:row>
      <xdr:rowOff>0</xdr:rowOff>
    </xdr:from>
    <xdr:to>
      <xdr:col>15</xdr:col>
      <xdr:colOff>561975</xdr:colOff>
      <xdr:row>13</xdr:row>
      <xdr:rowOff>105082</xdr:rowOff>
    </xdr:to>
    <xdr:pic>
      <xdr:nvPicPr>
        <xdr:cNvPr id="3" name="Picture 2">
          <a:extLst>
            <a:ext uri="{FF2B5EF4-FFF2-40B4-BE49-F238E27FC236}">
              <a16:creationId xmlns:a16="http://schemas.microsoft.com/office/drawing/2014/main" id="{CE29419F-E070-44F5-94D4-DB1972C51AF8}"/>
            </a:ext>
          </a:extLst>
        </xdr:cNvPr>
        <xdr:cNvPicPr>
          <a:picLocks noChangeAspect="1"/>
        </xdr:cNvPicPr>
      </xdr:nvPicPr>
      <xdr:blipFill>
        <a:blip xmlns:r="http://schemas.openxmlformats.org/officeDocument/2006/relationships" r:embed="rId17"/>
        <a:stretch>
          <a:fillRect/>
        </a:stretch>
      </xdr:blipFill>
      <xdr:spPr>
        <a:xfrm>
          <a:off x="12782550" y="4238625"/>
          <a:ext cx="561975" cy="600382"/>
        </a:xfrm>
        <a:prstGeom prst="rect">
          <a:avLst/>
        </a:prstGeom>
      </xdr:spPr>
    </xdr:pic>
    <xdr:clientData/>
  </xdr:twoCellAnchor>
  <xdr:twoCellAnchor editAs="oneCell">
    <xdr:from>
      <xdr:col>3</xdr:col>
      <xdr:colOff>857250</xdr:colOff>
      <xdr:row>11</xdr:row>
      <xdr:rowOff>101600</xdr:rowOff>
    </xdr:from>
    <xdr:to>
      <xdr:col>5</xdr:col>
      <xdr:colOff>390523</xdr:colOff>
      <xdr:row>12</xdr:row>
      <xdr:rowOff>209695</xdr:rowOff>
    </xdr:to>
    <xdr:pic>
      <xdr:nvPicPr>
        <xdr:cNvPr id="4" name="Picture 3">
          <a:extLst>
            <a:ext uri="{FF2B5EF4-FFF2-40B4-BE49-F238E27FC236}">
              <a16:creationId xmlns:a16="http://schemas.microsoft.com/office/drawing/2014/main" id="{5CBFD02E-370F-455D-A2D1-507EE719B84A}"/>
            </a:ext>
          </a:extLst>
        </xdr:cNvPr>
        <xdr:cNvPicPr>
          <a:picLocks noChangeAspect="1"/>
        </xdr:cNvPicPr>
      </xdr:nvPicPr>
      <xdr:blipFill>
        <a:blip xmlns:r="http://schemas.openxmlformats.org/officeDocument/2006/relationships" r:embed="rId18"/>
        <a:stretch>
          <a:fillRect/>
        </a:stretch>
      </xdr:blipFill>
      <xdr:spPr>
        <a:xfrm>
          <a:off x="5800725" y="3844925"/>
          <a:ext cx="800098" cy="603395"/>
        </a:xfrm>
        <a:prstGeom prst="rect">
          <a:avLst/>
        </a:prstGeom>
      </xdr:spPr>
    </xdr:pic>
    <xdr:clientData/>
  </xdr:twoCellAnchor>
  <xdr:twoCellAnchor editAs="oneCell">
    <xdr:from>
      <xdr:col>10</xdr:col>
      <xdr:colOff>447675</xdr:colOff>
      <xdr:row>11</xdr:row>
      <xdr:rowOff>171450</xdr:rowOff>
    </xdr:from>
    <xdr:to>
      <xdr:col>12</xdr:col>
      <xdr:colOff>133</xdr:colOff>
      <xdr:row>13</xdr:row>
      <xdr:rowOff>162061</xdr:rowOff>
    </xdr:to>
    <xdr:pic>
      <xdr:nvPicPr>
        <xdr:cNvPr id="14" name="Picture 13">
          <a:extLst>
            <a:ext uri="{FF2B5EF4-FFF2-40B4-BE49-F238E27FC236}">
              <a16:creationId xmlns:a16="http://schemas.microsoft.com/office/drawing/2014/main" id="{5311D8A5-E120-46B4-AC3F-83FB26085FD2}"/>
            </a:ext>
          </a:extLst>
        </xdr:cNvPr>
        <xdr:cNvPicPr>
          <a:picLocks noChangeAspect="1"/>
        </xdr:cNvPicPr>
      </xdr:nvPicPr>
      <xdr:blipFill>
        <a:blip xmlns:r="http://schemas.openxmlformats.org/officeDocument/2006/relationships" r:embed="rId19"/>
        <a:stretch>
          <a:fillRect/>
        </a:stretch>
      </xdr:blipFill>
      <xdr:spPr>
        <a:xfrm>
          <a:off x="9934575" y="3914775"/>
          <a:ext cx="952633" cy="9780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590550</xdr:colOff>
      <xdr:row>9</xdr:row>
      <xdr:rowOff>228600</xdr:rowOff>
    </xdr:from>
    <xdr:to>
      <xdr:col>17</xdr:col>
      <xdr:colOff>685799</xdr:colOff>
      <xdr:row>12</xdr:row>
      <xdr:rowOff>12699</xdr:rowOff>
    </xdr:to>
    <xdr:pic>
      <xdr:nvPicPr>
        <xdr:cNvPr id="2" name="Picture 2" descr="MAGNUM Remote Control">
          <a:extLst>
            <a:ext uri="{FF2B5EF4-FFF2-40B4-BE49-F238E27FC236}">
              <a16:creationId xmlns:a16="http://schemas.microsoft.com/office/drawing/2014/main" id="{EDFEF52D-2FF8-4B88-A667-C0E46EAEAD7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5" y="3295650"/>
          <a:ext cx="1133474" cy="1089024"/>
        </a:xfrm>
        <a:prstGeom prst="rect">
          <a:avLst/>
        </a:prstGeom>
        <a:noFill/>
      </xdr:spPr>
    </xdr:pic>
    <xdr:clientData/>
  </xdr:twoCellAnchor>
  <xdr:twoCellAnchor editAs="oneCell">
    <xdr:from>
      <xdr:col>0</xdr:col>
      <xdr:colOff>85725</xdr:colOff>
      <xdr:row>0</xdr:row>
      <xdr:rowOff>85725</xdr:rowOff>
    </xdr:from>
    <xdr:to>
      <xdr:col>2</xdr:col>
      <xdr:colOff>657225</xdr:colOff>
      <xdr:row>0</xdr:row>
      <xdr:rowOff>1514475</xdr:rowOff>
    </xdr:to>
    <xdr:pic>
      <xdr:nvPicPr>
        <xdr:cNvPr id="3" name="Imagine 2">
          <a:extLst>
            <a:ext uri="{FF2B5EF4-FFF2-40B4-BE49-F238E27FC236}">
              <a16:creationId xmlns:a16="http://schemas.microsoft.com/office/drawing/2014/main" id="{6EF4C616-80D5-442B-B552-F46033171E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85725"/>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1457325</xdr:colOff>
      <xdr:row>57</xdr:row>
      <xdr:rowOff>180976</xdr:rowOff>
    </xdr:from>
    <xdr:to>
      <xdr:col>5</xdr:col>
      <xdr:colOff>483455</xdr:colOff>
      <xdr:row>74</xdr:row>
      <xdr:rowOff>95251</xdr:rowOff>
    </xdr:to>
    <xdr:pic>
      <xdr:nvPicPr>
        <xdr:cNvPr id="6" name="Imagine 5">
          <a:extLst>
            <a:ext uri="{FF2B5EF4-FFF2-40B4-BE49-F238E27FC236}">
              <a16:creationId xmlns:a16="http://schemas.microsoft.com/office/drawing/2014/main" id="{134EEDB2-6780-47BA-8AD5-49409BB411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24100" y="17287876"/>
          <a:ext cx="3683855" cy="3314700"/>
        </a:xfrm>
        <a:prstGeom prst="rect">
          <a:avLst/>
        </a:prstGeom>
      </xdr:spPr>
    </xdr:pic>
    <xdr:clientData/>
  </xdr:twoCellAnchor>
  <xdr:twoCellAnchor editAs="oneCell">
    <xdr:from>
      <xdr:col>13</xdr:col>
      <xdr:colOff>47626</xdr:colOff>
      <xdr:row>10</xdr:row>
      <xdr:rowOff>295275</xdr:rowOff>
    </xdr:from>
    <xdr:to>
      <xdr:col>14</xdr:col>
      <xdr:colOff>171450</xdr:colOff>
      <xdr:row>12</xdr:row>
      <xdr:rowOff>29775</xdr:rowOff>
    </xdr:to>
    <xdr:pic>
      <xdr:nvPicPr>
        <xdr:cNvPr id="10" name="Imagine 9">
          <a:extLst>
            <a:ext uri="{FF2B5EF4-FFF2-40B4-BE49-F238E27FC236}">
              <a16:creationId xmlns:a16="http://schemas.microsoft.com/office/drawing/2014/main" id="{9AFFF307-E872-43E7-AD65-C2C08C265E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344276" y="3762375"/>
          <a:ext cx="733424" cy="601275"/>
        </a:xfrm>
        <a:prstGeom prst="rect">
          <a:avLst/>
        </a:prstGeom>
      </xdr:spPr>
    </xdr:pic>
    <xdr:clientData/>
  </xdr:twoCellAnchor>
  <xdr:twoCellAnchor editAs="oneCell">
    <xdr:from>
      <xdr:col>0</xdr:col>
      <xdr:colOff>238125</xdr:colOff>
      <xdr:row>11</xdr:row>
      <xdr:rowOff>3174</xdr:rowOff>
    </xdr:from>
    <xdr:to>
      <xdr:col>2</xdr:col>
      <xdr:colOff>1692275</xdr:colOff>
      <xdr:row>13</xdr:row>
      <xdr:rowOff>217487</xdr:rowOff>
    </xdr:to>
    <xdr:pic>
      <xdr:nvPicPr>
        <xdr:cNvPr id="16" name="Picture 19" descr="MAGNUM Heatboard (E)">
          <a:extLst>
            <a:ext uri="{FF2B5EF4-FFF2-40B4-BE49-F238E27FC236}">
              <a16:creationId xmlns:a16="http://schemas.microsoft.com/office/drawing/2014/main" id="{C45C4B06-4A08-4864-BDE8-711A8C2BFAA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25" y="3832224"/>
          <a:ext cx="2444750" cy="1204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2019300</xdr:colOff>
      <xdr:row>11</xdr:row>
      <xdr:rowOff>57150</xdr:rowOff>
    </xdr:from>
    <xdr:to>
      <xdr:col>2</xdr:col>
      <xdr:colOff>4019550</xdr:colOff>
      <xdr:row>13</xdr:row>
      <xdr:rowOff>222010</xdr:rowOff>
    </xdr:to>
    <xdr:pic>
      <xdr:nvPicPr>
        <xdr:cNvPr id="17" name="Picture 20" descr="MAGNUM Heatboard (E)">
          <a:extLst>
            <a:ext uri="{FF2B5EF4-FFF2-40B4-BE49-F238E27FC236}">
              <a16:creationId xmlns:a16="http://schemas.microsoft.com/office/drawing/2014/main" id="{D624EA8B-11B9-4218-A34F-FFECD403165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71800" y="3895725"/>
          <a:ext cx="2000250" cy="1155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561975</xdr:colOff>
      <xdr:row>10</xdr:row>
      <xdr:rowOff>47625</xdr:rowOff>
    </xdr:from>
    <xdr:to>
      <xdr:col>12</xdr:col>
      <xdr:colOff>123824</xdr:colOff>
      <xdr:row>11</xdr:row>
      <xdr:rowOff>485774</xdr:rowOff>
    </xdr:to>
    <xdr:pic>
      <xdr:nvPicPr>
        <xdr:cNvPr id="13" name="Imagine 12">
          <a:extLst>
            <a:ext uri="{FF2B5EF4-FFF2-40B4-BE49-F238E27FC236}">
              <a16:creationId xmlns:a16="http://schemas.microsoft.com/office/drawing/2014/main" id="{84EE6288-FC18-4780-9E30-DDF4E4739C56}"/>
            </a:ext>
          </a:extLst>
        </xdr:cNvPr>
        <xdr:cNvPicPr>
          <a:picLocks noChangeAspect="1"/>
        </xdr:cNvPicPr>
      </xdr:nvPicPr>
      <xdr:blipFill>
        <a:blip xmlns:r="http://schemas.openxmlformats.org/officeDocument/2006/relationships" r:embed="rId7"/>
        <a:stretch>
          <a:fillRect/>
        </a:stretch>
      </xdr:blipFill>
      <xdr:spPr>
        <a:xfrm>
          <a:off x="10010775" y="3514725"/>
          <a:ext cx="761999" cy="809624"/>
        </a:xfrm>
        <a:prstGeom prst="rect">
          <a:avLst/>
        </a:prstGeom>
      </xdr:spPr>
    </xdr:pic>
    <xdr:clientData/>
  </xdr:twoCellAnchor>
  <xdr:twoCellAnchor editAs="oneCell">
    <xdr:from>
      <xdr:col>9</xdr:col>
      <xdr:colOff>428625</xdr:colOff>
      <xdr:row>10</xdr:row>
      <xdr:rowOff>0</xdr:rowOff>
    </xdr:from>
    <xdr:to>
      <xdr:col>10</xdr:col>
      <xdr:colOff>390647</xdr:colOff>
      <xdr:row>11</xdr:row>
      <xdr:rowOff>485895</xdr:rowOff>
    </xdr:to>
    <xdr:pic>
      <xdr:nvPicPr>
        <xdr:cNvPr id="7" name="Imagine 6">
          <a:extLst>
            <a:ext uri="{FF2B5EF4-FFF2-40B4-BE49-F238E27FC236}">
              <a16:creationId xmlns:a16="http://schemas.microsoft.com/office/drawing/2014/main" id="{7F3701C6-F9A3-4F91-97AC-2695C677DC07}"/>
            </a:ext>
          </a:extLst>
        </xdr:cNvPr>
        <xdr:cNvPicPr>
          <a:picLocks noChangeAspect="1"/>
        </xdr:cNvPicPr>
      </xdr:nvPicPr>
      <xdr:blipFill>
        <a:blip xmlns:r="http://schemas.openxmlformats.org/officeDocument/2006/relationships" r:embed="rId8"/>
        <a:stretch>
          <a:fillRect/>
        </a:stretch>
      </xdr:blipFill>
      <xdr:spPr>
        <a:xfrm>
          <a:off x="8820150" y="3467100"/>
          <a:ext cx="876422" cy="857370"/>
        </a:xfrm>
        <a:prstGeom prst="rect">
          <a:avLst/>
        </a:prstGeom>
      </xdr:spPr>
    </xdr:pic>
    <xdr:clientData/>
  </xdr:twoCellAnchor>
  <xdr:twoCellAnchor editAs="oneCell">
    <xdr:from>
      <xdr:col>4</xdr:col>
      <xdr:colOff>330200</xdr:colOff>
      <xdr:row>11</xdr:row>
      <xdr:rowOff>152400</xdr:rowOff>
    </xdr:from>
    <xdr:to>
      <xdr:col>6</xdr:col>
      <xdr:colOff>76317</xdr:colOff>
      <xdr:row>13</xdr:row>
      <xdr:rowOff>25521</xdr:rowOff>
    </xdr:to>
    <xdr:pic>
      <xdr:nvPicPr>
        <xdr:cNvPr id="8" name="Imagine 7">
          <a:extLst>
            <a:ext uri="{FF2B5EF4-FFF2-40B4-BE49-F238E27FC236}">
              <a16:creationId xmlns:a16="http://schemas.microsoft.com/office/drawing/2014/main" id="{DEC8DF0C-DD75-4633-9DCB-1B9B066B0008}"/>
            </a:ext>
          </a:extLst>
        </xdr:cNvPr>
        <xdr:cNvPicPr>
          <a:picLocks noChangeAspect="1"/>
        </xdr:cNvPicPr>
      </xdr:nvPicPr>
      <xdr:blipFill>
        <a:blip xmlns:r="http://schemas.openxmlformats.org/officeDocument/2006/relationships" r:embed="rId9"/>
        <a:stretch>
          <a:fillRect/>
        </a:stretch>
      </xdr:blipFill>
      <xdr:spPr>
        <a:xfrm>
          <a:off x="6016625" y="3981450"/>
          <a:ext cx="889117" cy="863721"/>
        </a:xfrm>
        <a:prstGeom prst="rect">
          <a:avLst/>
        </a:prstGeom>
      </xdr:spPr>
    </xdr:pic>
    <xdr:clientData/>
  </xdr:twoCellAnchor>
  <xdr:twoCellAnchor editAs="oneCell">
    <xdr:from>
      <xdr:col>15</xdr:col>
      <xdr:colOff>0</xdr:colOff>
      <xdr:row>11</xdr:row>
      <xdr:rowOff>0</xdr:rowOff>
    </xdr:from>
    <xdr:to>
      <xdr:col>15</xdr:col>
      <xdr:colOff>561975</xdr:colOff>
      <xdr:row>12</xdr:row>
      <xdr:rowOff>105082</xdr:rowOff>
    </xdr:to>
    <xdr:pic>
      <xdr:nvPicPr>
        <xdr:cNvPr id="4" name="Picture 3">
          <a:extLst>
            <a:ext uri="{FF2B5EF4-FFF2-40B4-BE49-F238E27FC236}">
              <a16:creationId xmlns:a16="http://schemas.microsoft.com/office/drawing/2014/main" id="{55E1B45A-FEBD-4BA4-9744-C6D088B96D57}"/>
            </a:ext>
          </a:extLst>
        </xdr:cNvPr>
        <xdr:cNvPicPr>
          <a:picLocks noChangeAspect="1"/>
        </xdr:cNvPicPr>
      </xdr:nvPicPr>
      <xdr:blipFill>
        <a:blip xmlns:r="http://schemas.openxmlformats.org/officeDocument/2006/relationships" r:embed="rId10"/>
        <a:stretch>
          <a:fillRect/>
        </a:stretch>
      </xdr:blipFill>
      <xdr:spPr>
        <a:xfrm>
          <a:off x="12811125" y="3829050"/>
          <a:ext cx="561975" cy="600382"/>
        </a:xfrm>
        <a:prstGeom prst="rect">
          <a:avLst/>
        </a:prstGeom>
      </xdr:spPr>
    </xdr:pic>
    <xdr:clientData/>
  </xdr:twoCellAnchor>
  <xdr:twoCellAnchor editAs="oneCell">
    <xdr:from>
      <xdr:col>8</xdr:col>
      <xdr:colOff>9525</xdr:colOff>
      <xdr:row>10</xdr:row>
      <xdr:rowOff>19050</xdr:rowOff>
    </xdr:from>
    <xdr:to>
      <xdr:col>9</xdr:col>
      <xdr:colOff>285883</xdr:colOff>
      <xdr:row>12</xdr:row>
      <xdr:rowOff>130311</xdr:rowOff>
    </xdr:to>
    <xdr:pic>
      <xdr:nvPicPr>
        <xdr:cNvPr id="5" name="Picture 4">
          <a:extLst>
            <a:ext uri="{FF2B5EF4-FFF2-40B4-BE49-F238E27FC236}">
              <a16:creationId xmlns:a16="http://schemas.microsoft.com/office/drawing/2014/main" id="{47FAA4D5-429B-4211-8FE7-E5E2A2350CC4}"/>
            </a:ext>
          </a:extLst>
        </xdr:cNvPr>
        <xdr:cNvPicPr>
          <a:picLocks noChangeAspect="1"/>
        </xdr:cNvPicPr>
      </xdr:nvPicPr>
      <xdr:blipFill>
        <a:blip xmlns:r="http://schemas.openxmlformats.org/officeDocument/2006/relationships" r:embed="rId11"/>
        <a:stretch>
          <a:fillRect/>
        </a:stretch>
      </xdr:blipFill>
      <xdr:spPr>
        <a:xfrm>
          <a:off x="8020050" y="3476625"/>
          <a:ext cx="952633" cy="9780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473075</xdr:colOff>
      <xdr:row>9</xdr:row>
      <xdr:rowOff>285750</xdr:rowOff>
    </xdr:from>
    <xdr:to>
      <xdr:col>16</xdr:col>
      <xdr:colOff>1593849</xdr:colOff>
      <xdr:row>12</xdr:row>
      <xdr:rowOff>69849</xdr:rowOff>
    </xdr:to>
    <xdr:pic>
      <xdr:nvPicPr>
        <xdr:cNvPr id="2" name="Picture 2" descr="MAGNUM Remote Control">
          <a:extLst>
            <a:ext uri="{FF2B5EF4-FFF2-40B4-BE49-F238E27FC236}">
              <a16:creationId xmlns:a16="http://schemas.microsoft.com/office/drawing/2014/main" id="{E0819A7E-31A6-40AA-998E-5DD6FB3A04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08025" y="3305175"/>
          <a:ext cx="1117599" cy="1085849"/>
        </a:xfrm>
        <a:prstGeom prst="rect">
          <a:avLst/>
        </a:prstGeom>
        <a:noFill/>
      </xdr:spPr>
    </xdr:pic>
    <xdr:clientData/>
  </xdr:twoCellAnchor>
  <xdr:twoCellAnchor editAs="oneCell">
    <xdr:from>
      <xdr:col>0</xdr:col>
      <xdr:colOff>85725</xdr:colOff>
      <xdr:row>0</xdr:row>
      <xdr:rowOff>85725</xdr:rowOff>
    </xdr:from>
    <xdr:to>
      <xdr:col>2</xdr:col>
      <xdr:colOff>647700</xdr:colOff>
      <xdr:row>0</xdr:row>
      <xdr:rowOff>1514475</xdr:rowOff>
    </xdr:to>
    <xdr:pic>
      <xdr:nvPicPr>
        <xdr:cNvPr id="3" name="Imagine 2">
          <a:extLst>
            <a:ext uri="{FF2B5EF4-FFF2-40B4-BE49-F238E27FC236}">
              <a16:creationId xmlns:a16="http://schemas.microsoft.com/office/drawing/2014/main" id="{C51A2D0C-4513-4E24-A24A-DD55C6DD2C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85725"/>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466725</xdr:colOff>
      <xdr:row>81</xdr:row>
      <xdr:rowOff>123825</xdr:rowOff>
    </xdr:from>
    <xdr:to>
      <xdr:col>4</xdr:col>
      <xdr:colOff>0</xdr:colOff>
      <xdr:row>102</xdr:row>
      <xdr:rowOff>28575</xdr:rowOff>
    </xdr:to>
    <xdr:pic>
      <xdr:nvPicPr>
        <xdr:cNvPr id="4" name="Imagine 3">
          <a:extLst>
            <a:ext uri="{FF2B5EF4-FFF2-40B4-BE49-F238E27FC236}">
              <a16:creationId xmlns:a16="http://schemas.microsoft.com/office/drawing/2014/main" id="{6616F35B-769B-452F-AE42-E8967B2FF2D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7250" y="16811625"/>
          <a:ext cx="4562475" cy="4105275"/>
        </a:xfrm>
        <a:prstGeom prst="rect">
          <a:avLst/>
        </a:prstGeom>
      </xdr:spPr>
    </xdr:pic>
    <xdr:clientData/>
  </xdr:twoCellAnchor>
  <xdr:twoCellAnchor editAs="oneCell">
    <xdr:from>
      <xdr:col>14</xdr:col>
      <xdr:colOff>38101</xdr:colOff>
      <xdr:row>10</xdr:row>
      <xdr:rowOff>247650</xdr:rowOff>
    </xdr:from>
    <xdr:to>
      <xdr:col>15</xdr:col>
      <xdr:colOff>285750</xdr:colOff>
      <xdr:row>12</xdr:row>
      <xdr:rowOff>60238</xdr:rowOff>
    </xdr:to>
    <xdr:pic>
      <xdr:nvPicPr>
        <xdr:cNvPr id="6" name="Imagine 5">
          <a:extLst>
            <a:ext uri="{FF2B5EF4-FFF2-40B4-BE49-F238E27FC236}">
              <a16:creationId xmlns:a16="http://schemas.microsoft.com/office/drawing/2014/main" id="{9BB2F6B2-87DE-414A-BC32-CD10C42D22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334751" y="3714750"/>
          <a:ext cx="828674" cy="679363"/>
        </a:xfrm>
        <a:prstGeom prst="rect">
          <a:avLst/>
        </a:prstGeom>
      </xdr:spPr>
    </xdr:pic>
    <xdr:clientData/>
  </xdr:twoCellAnchor>
  <xdr:twoCellAnchor editAs="oneCell">
    <xdr:from>
      <xdr:col>0</xdr:col>
      <xdr:colOff>0</xdr:colOff>
      <xdr:row>10</xdr:row>
      <xdr:rowOff>466724</xdr:rowOff>
    </xdr:from>
    <xdr:to>
      <xdr:col>2</xdr:col>
      <xdr:colOff>1447800</xdr:colOff>
      <xdr:row>13</xdr:row>
      <xdr:rowOff>220662</xdr:rowOff>
    </xdr:to>
    <xdr:pic>
      <xdr:nvPicPr>
        <xdr:cNvPr id="7" name="Picture 19" descr="MAGNUM Heatboard (E)">
          <a:extLst>
            <a:ext uri="{FF2B5EF4-FFF2-40B4-BE49-F238E27FC236}">
              <a16:creationId xmlns:a16="http://schemas.microsoft.com/office/drawing/2014/main" id="{10C06BF5-DF32-4A77-9927-C156D97D9B7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3838574"/>
          <a:ext cx="2409825" cy="1204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1044575</xdr:colOff>
      <xdr:row>11</xdr:row>
      <xdr:rowOff>0</xdr:rowOff>
    </xdr:from>
    <xdr:to>
      <xdr:col>2</xdr:col>
      <xdr:colOff>3048000</xdr:colOff>
      <xdr:row>13</xdr:row>
      <xdr:rowOff>161685</xdr:rowOff>
    </xdr:to>
    <xdr:pic>
      <xdr:nvPicPr>
        <xdr:cNvPr id="8" name="Picture 20" descr="MAGNUM Heatboard (E)">
          <a:extLst>
            <a:ext uri="{FF2B5EF4-FFF2-40B4-BE49-F238E27FC236}">
              <a16:creationId xmlns:a16="http://schemas.microsoft.com/office/drawing/2014/main" id="{4737700F-7DC1-46EA-BF8E-348985B6DAE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54225" y="3876675"/>
          <a:ext cx="2003425" cy="1155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323850</xdr:colOff>
      <xdr:row>10</xdr:row>
      <xdr:rowOff>28575</xdr:rowOff>
    </xdr:from>
    <xdr:to>
      <xdr:col>12</xdr:col>
      <xdr:colOff>514349</xdr:colOff>
      <xdr:row>11</xdr:row>
      <xdr:rowOff>466724</xdr:rowOff>
    </xdr:to>
    <xdr:pic>
      <xdr:nvPicPr>
        <xdr:cNvPr id="11" name="Imagine 10">
          <a:extLst>
            <a:ext uri="{FF2B5EF4-FFF2-40B4-BE49-F238E27FC236}">
              <a16:creationId xmlns:a16="http://schemas.microsoft.com/office/drawing/2014/main" id="{85C34387-313E-4F1D-AF79-08A99D5CEBB9}"/>
            </a:ext>
          </a:extLst>
        </xdr:cNvPr>
        <xdr:cNvPicPr>
          <a:picLocks noChangeAspect="1"/>
        </xdr:cNvPicPr>
      </xdr:nvPicPr>
      <xdr:blipFill>
        <a:blip xmlns:r="http://schemas.openxmlformats.org/officeDocument/2006/relationships" r:embed="rId7"/>
        <a:stretch>
          <a:fillRect/>
        </a:stretch>
      </xdr:blipFill>
      <xdr:spPr>
        <a:xfrm>
          <a:off x="9906000" y="3495675"/>
          <a:ext cx="761999" cy="809624"/>
        </a:xfrm>
        <a:prstGeom prst="rect">
          <a:avLst/>
        </a:prstGeom>
      </xdr:spPr>
    </xdr:pic>
    <xdr:clientData/>
  </xdr:twoCellAnchor>
  <xdr:twoCellAnchor editAs="oneCell">
    <xdr:from>
      <xdr:col>5</xdr:col>
      <xdr:colOff>561975</xdr:colOff>
      <xdr:row>11</xdr:row>
      <xdr:rowOff>161925</xdr:rowOff>
    </xdr:from>
    <xdr:to>
      <xdr:col>6</xdr:col>
      <xdr:colOff>676392</xdr:colOff>
      <xdr:row>13</xdr:row>
      <xdr:rowOff>38221</xdr:rowOff>
    </xdr:to>
    <xdr:pic>
      <xdr:nvPicPr>
        <xdr:cNvPr id="13" name="Imagine 12">
          <a:extLst>
            <a:ext uri="{FF2B5EF4-FFF2-40B4-BE49-F238E27FC236}">
              <a16:creationId xmlns:a16="http://schemas.microsoft.com/office/drawing/2014/main" id="{17792481-6577-469F-89BF-6A5F8FEAACE7}"/>
            </a:ext>
          </a:extLst>
        </xdr:cNvPr>
        <xdr:cNvPicPr>
          <a:picLocks noChangeAspect="1"/>
        </xdr:cNvPicPr>
      </xdr:nvPicPr>
      <xdr:blipFill>
        <a:blip xmlns:r="http://schemas.openxmlformats.org/officeDocument/2006/relationships" r:embed="rId8"/>
        <a:stretch>
          <a:fillRect/>
        </a:stretch>
      </xdr:blipFill>
      <xdr:spPr>
        <a:xfrm>
          <a:off x="6419850" y="4000500"/>
          <a:ext cx="838317" cy="866896"/>
        </a:xfrm>
        <a:prstGeom prst="rect">
          <a:avLst/>
        </a:prstGeom>
      </xdr:spPr>
    </xdr:pic>
    <xdr:clientData/>
  </xdr:twoCellAnchor>
  <xdr:twoCellAnchor editAs="oneCell">
    <xdr:from>
      <xdr:col>9</xdr:col>
      <xdr:colOff>600075</xdr:colOff>
      <xdr:row>9</xdr:row>
      <xdr:rowOff>419100</xdr:rowOff>
    </xdr:from>
    <xdr:to>
      <xdr:col>11</xdr:col>
      <xdr:colOff>38222</xdr:colOff>
      <xdr:row>11</xdr:row>
      <xdr:rowOff>466845</xdr:rowOff>
    </xdr:to>
    <xdr:pic>
      <xdr:nvPicPr>
        <xdr:cNvPr id="16" name="Imagine 15">
          <a:extLst>
            <a:ext uri="{FF2B5EF4-FFF2-40B4-BE49-F238E27FC236}">
              <a16:creationId xmlns:a16="http://schemas.microsoft.com/office/drawing/2014/main" id="{3DC5244F-41C9-499A-BD33-8FF92E59D6EE}"/>
            </a:ext>
          </a:extLst>
        </xdr:cNvPr>
        <xdr:cNvPicPr>
          <a:picLocks noChangeAspect="1"/>
        </xdr:cNvPicPr>
      </xdr:nvPicPr>
      <xdr:blipFill>
        <a:blip xmlns:r="http://schemas.openxmlformats.org/officeDocument/2006/relationships" r:embed="rId9"/>
        <a:stretch>
          <a:fillRect/>
        </a:stretch>
      </xdr:blipFill>
      <xdr:spPr>
        <a:xfrm>
          <a:off x="8743950" y="3448050"/>
          <a:ext cx="876422" cy="857370"/>
        </a:xfrm>
        <a:prstGeom prst="rect">
          <a:avLst/>
        </a:prstGeom>
      </xdr:spPr>
    </xdr:pic>
    <xdr:clientData/>
  </xdr:twoCellAnchor>
  <xdr:twoCellAnchor editAs="oneCell">
    <xdr:from>
      <xdr:col>16</xdr:col>
      <xdr:colOff>1181100</xdr:colOff>
      <xdr:row>12</xdr:row>
      <xdr:rowOff>133350</xdr:rowOff>
    </xdr:from>
    <xdr:to>
      <xdr:col>18</xdr:col>
      <xdr:colOff>266701</xdr:colOff>
      <xdr:row>16</xdr:row>
      <xdr:rowOff>69560</xdr:rowOff>
    </xdr:to>
    <xdr:pic>
      <xdr:nvPicPr>
        <xdr:cNvPr id="17" name="Imagine 16">
          <a:extLst>
            <a:ext uri="{FF2B5EF4-FFF2-40B4-BE49-F238E27FC236}">
              <a16:creationId xmlns:a16="http://schemas.microsoft.com/office/drawing/2014/main" id="{8BD18A07-9E7F-43F5-A1E4-F3F3B1292E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506450" y="4467225"/>
          <a:ext cx="1400176" cy="1272885"/>
        </a:xfrm>
        <a:prstGeom prst="rect">
          <a:avLst/>
        </a:prstGeom>
      </xdr:spPr>
    </xdr:pic>
    <xdr:clientData/>
  </xdr:twoCellAnchor>
  <xdr:twoCellAnchor editAs="oneCell">
    <xdr:from>
      <xdr:col>2</xdr:col>
      <xdr:colOff>3787775</xdr:colOff>
      <xdr:row>11</xdr:row>
      <xdr:rowOff>231774</xdr:rowOff>
    </xdr:from>
    <xdr:to>
      <xdr:col>5</xdr:col>
      <xdr:colOff>454025</xdr:colOff>
      <xdr:row>13</xdr:row>
      <xdr:rowOff>38639</xdr:rowOff>
    </xdr:to>
    <xdr:pic>
      <xdr:nvPicPr>
        <xdr:cNvPr id="18" name="Imagine 17">
          <a:extLst>
            <a:ext uri="{FF2B5EF4-FFF2-40B4-BE49-F238E27FC236}">
              <a16:creationId xmlns:a16="http://schemas.microsoft.com/office/drawing/2014/main" id="{56C579ED-AC30-4F3E-85B2-AC35C34BF24C}"/>
            </a:ext>
          </a:extLst>
        </xdr:cNvPr>
        <xdr:cNvPicPr>
          <a:picLocks noChangeAspect="1"/>
        </xdr:cNvPicPr>
      </xdr:nvPicPr>
      <xdr:blipFill>
        <a:blip xmlns:r="http://schemas.openxmlformats.org/officeDocument/2006/relationships" r:embed="rId11"/>
        <a:stretch>
          <a:fillRect/>
        </a:stretch>
      </xdr:blipFill>
      <xdr:spPr>
        <a:xfrm rot="21392666">
          <a:off x="4797425" y="4108449"/>
          <a:ext cx="1790700" cy="797465"/>
        </a:xfrm>
        <a:prstGeom prst="rect">
          <a:avLst/>
        </a:prstGeom>
      </xdr:spPr>
    </xdr:pic>
    <xdr:clientData/>
  </xdr:twoCellAnchor>
  <xdr:twoCellAnchor editAs="oneCell">
    <xdr:from>
      <xdr:col>2</xdr:col>
      <xdr:colOff>2959156</xdr:colOff>
      <xdr:row>10</xdr:row>
      <xdr:rowOff>209495</xdr:rowOff>
    </xdr:from>
    <xdr:to>
      <xdr:col>2</xdr:col>
      <xdr:colOff>3587894</xdr:colOff>
      <xdr:row>14</xdr:row>
      <xdr:rowOff>25542</xdr:rowOff>
    </xdr:to>
    <xdr:pic>
      <xdr:nvPicPr>
        <xdr:cNvPr id="19" name="Imagine 18">
          <a:extLst>
            <a:ext uri="{FF2B5EF4-FFF2-40B4-BE49-F238E27FC236}">
              <a16:creationId xmlns:a16="http://schemas.microsoft.com/office/drawing/2014/main" id="{1667C570-62DF-5FB3-C66C-D1CA2ED676A6}"/>
            </a:ext>
          </a:extLst>
        </xdr:cNvPr>
        <xdr:cNvPicPr>
          <a:picLocks noChangeAspect="1"/>
        </xdr:cNvPicPr>
      </xdr:nvPicPr>
      <xdr:blipFill>
        <a:blip xmlns:r="http://schemas.openxmlformats.org/officeDocument/2006/relationships" r:embed="rId12"/>
        <a:stretch>
          <a:fillRect/>
        </a:stretch>
      </xdr:blipFill>
      <xdr:spPr>
        <a:xfrm rot="18691797">
          <a:off x="3579814" y="4103687"/>
          <a:ext cx="1409897" cy="631913"/>
        </a:xfrm>
        <a:prstGeom prst="rect">
          <a:avLst/>
        </a:prstGeom>
      </xdr:spPr>
    </xdr:pic>
    <xdr:clientData/>
  </xdr:twoCellAnchor>
  <xdr:twoCellAnchor editAs="oneCell">
    <xdr:from>
      <xdr:col>13</xdr:col>
      <xdr:colOff>0</xdr:colOff>
      <xdr:row>10</xdr:row>
      <xdr:rowOff>238125</xdr:rowOff>
    </xdr:from>
    <xdr:to>
      <xdr:col>13</xdr:col>
      <xdr:colOff>558800</xdr:colOff>
      <xdr:row>11</xdr:row>
      <xdr:rowOff>463857</xdr:rowOff>
    </xdr:to>
    <xdr:pic>
      <xdr:nvPicPr>
        <xdr:cNvPr id="5" name="Picture 4">
          <a:extLst>
            <a:ext uri="{FF2B5EF4-FFF2-40B4-BE49-F238E27FC236}">
              <a16:creationId xmlns:a16="http://schemas.microsoft.com/office/drawing/2014/main" id="{5F798D56-77C2-42D0-8DE2-72F5573AA120}"/>
            </a:ext>
          </a:extLst>
        </xdr:cNvPr>
        <xdr:cNvPicPr>
          <a:picLocks noChangeAspect="1"/>
        </xdr:cNvPicPr>
      </xdr:nvPicPr>
      <xdr:blipFill>
        <a:blip xmlns:r="http://schemas.openxmlformats.org/officeDocument/2006/relationships" r:embed="rId13"/>
        <a:stretch>
          <a:fillRect/>
        </a:stretch>
      </xdr:blipFill>
      <xdr:spPr>
        <a:xfrm>
          <a:off x="11249025" y="3695700"/>
          <a:ext cx="558800" cy="597207"/>
        </a:xfrm>
        <a:prstGeom prst="rect">
          <a:avLst/>
        </a:prstGeom>
      </xdr:spPr>
    </xdr:pic>
    <xdr:clientData/>
  </xdr:twoCellAnchor>
  <xdr:twoCellAnchor editAs="oneCell">
    <xdr:from>
      <xdr:col>7</xdr:col>
      <xdr:colOff>342900</xdr:colOff>
      <xdr:row>9</xdr:row>
      <xdr:rowOff>390525</xdr:rowOff>
    </xdr:from>
    <xdr:to>
      <xdr:col>9</xdr:col>
      <xdr:colOff>390658</xdr:colOff>
      <xdr:row>12</xdr:row>
      <xdr:rowOff>66811</xdr:rowOff>
    </xdr:to>
    <xdr:pic>
      <xdr:nvPicPr>
        <xdr:cNvPr id="9" name="Picture 8">
          <a:extLst>
            <a:ext uri="{FF2B5EF4-FFF2-40B4-BE49-F238E27FC236}">
              <a16:creationId xmlns:a16="http://schemas.microsoft.com/office/drawing/2014/main" id="{889CB328-E4FD-4FB9-9359-EC029EC1D71E}"/>
            </a:ext>
          </a:extLst>
        </xdr:cNvPr>
        <xdr:cNvPicPr>
          <a:picLocks noChangeAspect="1"/>
        </xdr:cNvPicPr>
      </xdr:nvPicPr>
      <xdr:blipFill>
        <a:blip xmlns:r="http://schemas.openxmlformats.org/officeDocument/2006/relationships" r:embed="rId14"/>
        <a:stretch>
          <a:fillRect/>
        </a:stretch>
      </xdr:blipFill>
      <xdr:spPr>
        <a:xfrm>
          <a:off x="7981950" y="3409950"/>
          <a:ext cx="949458" cy="9780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530225</xdr:colOff>
      <xdr:row>10</xdr:row>
      <xdr:rowOff>377825</xdr:rowOff>
    </xdr:from>
    <xdr:to>
      <xdr:col>19</xdr:col>
      <xdr:colOff>393699</xdr:colOff>
      <xdr:row>13</xdr:row>
      <xdr:rowOff>95249</xdr:rowOff>
    </xdr:to>
    <xdr:pic>
      <xdr:nvPicPr>
        <xdr:cNvPr id="2" name="Picture 2" descr="MAGNUM Remote Control">
          <a:extLst>
            <a:ext uri="{FF2B5EF4-FFF2-40B4-BE49-F238E27FC236}">
              <a16:creationId xmlns:a16="http://schemas.microsoft.com/office/drawing/2014/main" id="{8975E545-E5ED-4E80-9FEF-739C8E87A27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22500" y="3787775"/>
          <a:ext cx="1136649" cy="1089024"/>
        </a:xfrm>
        <a:prstGeom prst="rect">
          <a:avLst/>
        </a:prstGeom>
        <a:noFill/>
      </xdr:spPr>
    </xdr:pic>
    <xdr:clientData/>
  </xdr:twoCellAnchor>
  <xdr:twoCellAnchor editAs="oneCell">
    <xdr:from>
      <xdr:col>0</xdr:col>
      <xdr:colOff>85725</xdr:colOff>
      <xdr:row>0</xdr:row>
      <xdr:rowOff>85725</xdr:rowOff>
    </xdr:from>
    <xdr:to>
      <xdr:col>2</xdr:col>
      <xdr:colOff>581025</xdr:colOff>
      <xdr:row>0</xdr:row>
      <xdr:rowOff>1514475</xdr:rowOff>
    </xdr:to>
    <xdr:pic>
      <xdr:nvPicPr>
        <xdr:cNvPr id="3" name="Imagine 2">
          <a:extLst>
            <a:ext uri="{FF2B5EF4-FFF2-40B4-BE49-F238E27FC236}">
              <a16:creationId xmlns:a16="http://schemas.microsoft.com/office/drawing/2014/main" id="{496FD1E6-976B-4549-8DE5-D0EFD22FB4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85725"/>
          <a:ext cx="1524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714376</xdr:colOff>
      <xdr:row>10</xdr:row>
      <xdr:rowOff>266700</xdr:rowOff>
    </xdr:from>
    <xdr:to>
      <xdr:col>15</xdr:col>
      <xdr:colOff>221659</xdr:colOff>
      <xdr:row>12</xdr:row>
      <xdr:rowOff>66675</xdr:rowOff>
    </xdr:to>
    <xdr:pic>
      <xdr:nvPicPr>
        <xdr:cNvPr id="10" name="Imagine 9">
          <a:extLst>
            <a:ext uri="{FF2B5EF4-FFF2-40B4-BE49-F238E27FC236}">
              <a16:creationId xmlns:a16="http://schemas.microsoft.com/office/drawing/2014/main" id="{D76720B9-EE4D-463E-BD1A-9193CDA228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10976" y="3743325"/>
          <a:ext cx="824908" cy="676275"/>
        </a:xfrm>
        <a:prstGeom prst="rect">
          <a:avLst/>
        </a:prstGeom>
      </xdr:spPr>
    </xdr:pic>
    <xdr:clientData/>
  </xdr:twoCellAnchor>
  <xdr:twoCellAnchor editAs="oneCell">
    <xdr:from>
      <xdr:col>0</xdr:col>
      <xdr:colOff>190500</xdr:colOff>
      <xdr:row>11</xdr:row>
      <xdr:rowOff>292100</xdr:rowOff>
    </xdr:from>
    <xdr:to>
      <xdr:col>2</xdr:col>
      <xdr:colOff>609600</xdr:colOff>
      <xdr:row>12</xdr:row>
      <xdr:rowOff>447501</xdr:rowOff>
    </xdr:to>
    <xdr:pic>
      <xdr:nvPicPr>
        <xdr:cNvPr id="15" name="Picture 18">
          <a:extLst>
            <a:ext uri="{FF2B5EF4-FFF2-40B4-BE49-F238E27FC236}">
              <a16:creationId xmlns:a16="http://schemas.microsoft.com/office/drawing/2014/main" id="{BA9FBA0F-1EAD-4A0F-B2D6-87DB63A96019}"/>
            </a:ext>
          </a:extLst>
        </xdr:cNvPr>
        <xdr:cNvPicPr>
          <a:picLocks noChangeAspect="1" noChangeArrowheads="1"/>
        </xdr:cNvPicPr>
      </xdr:nvPicPr>
      <xdr:blipFill>
        <a:blip xmlns:r="http://schemas.openxmlformats.org/officeDocument/2006/relationships" r:embed="rId4"/>
        <a:srcRect/>
        <a:stretch>
          <a:fillRect/>
        </a:stretch>
      </xdr:blipFill>
      <xdr:spPr bwMode="auto">
        <a:xfrm>
          <a:off x="190500" y="4083050"/>
          <a:ext cx="1495425" cy="650701"/>
        </a:xfrm>
        <a:prstGeom prst="rect">
          <a:avLst/>
        </a:prstGeom>
        <a:noFill/>
      </xdr:spPr>
    </xdr:pic>
    <xdr:clientData/>
  </xdr:twoCellAnchor>
  <xdr:twoCellAnchor editAs="oneCell">
    <xdr:from>
      <xdr:col>2</xdr:col>
      <xdr:colOff>942975</xdr:colOff>
      <xdr:row>11</xdr:row>
      <xdr:rowOff>177800</xdr:rowOff>
    </xdr:from>
    <xdr:to>
      <xdr:col>2</xdr:col>
      <xdr:colOff>2276475</xdr:colOff>
      <xdr:row>13</xdr:row>
      <xdr:rowOff>84209</xdr:rowOff>
    </xdr:to>
    <xdr:pic>
      <xdr:nvPicPr>
        <xdr:cNvPr id="18" name="Imagine 17">
          <a:extLst>
            <a:ext uri="{FF2B5EF4-FFF2-40B4-BE49-F238E27FC236}">
              <a16:creationId xmlns:a16="http://schemas.microsoft.com/office/drawing/2014/main" id="{308EA873-C39E-E3E6-66DA-1353ED85440F}"/>
            </a:ext>
          </a:extLst>
        </xdr:cNvPr>
        <xdr:cNvPicPr>
          <a:picLocks noChangeAspect="1"/>
        </xdr:cNvPicPr>
      </xdr:nvPicPr>
      <xdr:blipFill>
        <a:blip xmlns:r="http://schemas.openxmlformats.org/officeDocument/2006/relationships" r:embed="rId5"/>
        <a:stretch>
          <a:fillRect/>
        </a:stretch>
      </xdr:blipFill>
      <xdr:spPr>
        <a:xfrm>
          <a:off x="2019300" y="3968750"/>
          <a:ext cx="1333500" cy="897009"/>
        </a:xfrm>
        <a:prstGeom prst="rect">
          <a:avLst/>
        </a:prstGeom>
      </xdr:spPr>
    </xdr:pic>
    <xdr:clientData/>
  </xdr:twoCellAnchor>
  <xdr:twoCellAnchor editAs="oneCell">
    <xdr:from>
      <xdr:col>2</xdr:col>
      <xdr:colOff>2695575</xdr:colOff>
      <xdr:row>11</xdr:row>
      <xdr:rowOff>82550</xdr:rowOff>
    </xdr:from>
    <xdr:to>
      <xdr:col>4</xdr:col>
      <xdr:colOff>34925</xdr:colOff>
      <xdr:row>13</xdr:row>
      <xdr:rowOff>105419</xdr:rowOff>
    </xdr:to>
    <xdr:pic>
      <xdr:nvPicPr>
        <xdr:cNvPr id="19" name="Imagine 18">
          <a:extLst>
            <a:ext uri="{FF2B5EF4-FFF2-40B4-BE49-F238E27FC236}">
              <a16:creationId xmlns:a16="http://schemas.microsoft.com/office/drawing/2014/main" id="{19CD0A99-9646-CA10-4474-60BA06FEC998}"/>
            </a:ext>
          </a:extLst>
        </xdr:cNvPr>
        <xdr:cNvPicPr>
          <a:picLocks noChangeAspect="1"/>
        </xdr:cNvPicPr>
      </xdr:nvPicPr>
      <xdr:blipFill>
        <a:blip xmlns:r="http://schemas.openxmlformats.org/officeDocument/2006/relationships" r:embed="rId6"/>
        <a:stretch>
          <a:fillRect/>
        </a:stretch>
      </xdr:blipFill>
      <xdr:spPr>
        <a:xfrm>
          <a:off x="3771900" y="3873500"/>
          <a:ext cx="1797050" cy="1013469"/>
        </a:xfrm>
        <a:prstGeom prst="rect">
          <a:avLst/>
        </a:prstGeom>
      </xdr:spPr>
    </xdr:pic>
    <xdr:clientData/>
  </xdr:twoCellAnchor>
  <xdr:twoCellAnchor editAs="oneCell">
    <xdr:from>
      <xdr:col>11</xdr:col>
      <xdr:colOff>504825</xdr:colOff>
      <xdr:row>10</xdr:row>
      <xdr:rowOff>76200</xdr:rowOff>
    </xdr:from>
    <xdr:to>
      <xdr:col>12</xdr:col>
      <xdr:colOff>704849</xdr:colOff>
      <xdr:row>12</xdr:row>
      <xdr:rowOff>9524</xdr:rowOff>
    </xdr:to>
    <xdr:pic>
      <xdr:nvPicPr>
        <xdr:cNvPr id="5" name="Imagine 4">
          <a:extLst>
            <a:ext uri="{FF2B5EF4-FFF2-40B4-BE49-F238E27FC236}">
              <a16:creationId xmlns:a16="http://schemas.microsoft.com/office/drawing/2014/main" id="{0EDCD035-CD6C-4DAB-A025-C5E31D8002FA}"/>
            </a:ext>
          </a:extLst>
        </xdr:cNvPr>
        <xdr:cNvPicPr>
          <a:picLocks noChangeAspect="1"/>
        </xdr:cNvPicPr>
      </xdr:nvPicPr>
      <xdr:blipFill>
        <a:blip xmlns:r="http://schemas.openxmlformats.org/officeDocument/2006/relationships" r:embed="rId7"/>
        <a:stretch>
          <a:fillRect/>
        </a:stretch>
      </xdr:blipFill>
      <xdr:spPr>
        <a:xfrm>
          <a:off x="10058400" y="3552825"/>
          <a:ext cx="761999" cy="809624"/>
        </a:xfrm>
        <a:prstGeom prst="rect">
          <a:avLst/>
        </a:prstGeom>
      </xdr:spPr>
    </xdr:pic>
    <xdr:clientData/>
  </xdr:twoCellAnchor>
  <xdr:twoCellAnchor editAs="oneCell">
    <xdr:from>
      <xdr:col>5</xdr:col>
      <xdr:colOff>190500</xdr:colOff>
      <xdr:row>11</xdr:row>
      <xdr:rowOff>142875</xdr:rowOff>
    </xdr:from>
    <xdr:to>
      <xdr:col>6</xdr:col>
      <xdr:colOff>276342</xdr:colOff>
      <xdr:row>13</xdr:row>
      <xdr:rowOff>19171</xdr:rowOff>
    </xdr:to>
    <xdr:pic>
      <xdr:nvPicPr>
        <xdr:cNvPr id="6" name="Imagine 5">
          <a:extLst>
            <a:ext uri="{FF2B5EF4-FFF2-40B4-BE49-F238E27FC236}">
              <a16:creationId xmlns:a16="http://schemas.microsoft.com/office/drawing/2014/main" id="{628F153E-1D64-45D9-82B4-3E48A0E9AC1D}"/>
            </a:ext>
          </a:extLst>
        </xdr:cNvPr>
        <xdr:cNvPicPr>
          <a:picLocks noChangeAspect="1"/>
        </xdr:cNvPicPr>
      </xdr:nvPicPr>
      <xdr:blipFill>
        <a:blip xmlns:r="http://schemas.openxmlformats.org/officeDocument/2006/relationships" r:embed="rId8"/>
        <a:stretch>
          <a:fillRect/>
        </a:stretch>
      </xdr:blipFill>
      <xdr:spPr>
        <a:xfrm>
          <a:off x="5857875" y="4000500"/>
          <a:ext cx="838317" cy="866896"/>
        </a:xfrm>
        <a:prstGeom prst="rect">
          <a:avLst/>
        </a:prstGeom>
      </xdr:spPr>
    </xdr:pic>
    <xdr:clientData/>
  </xdr:twoCellAnchor>
  <xdr:twoCellAnchor editAs="oneCell">
    <xdr:from>
      <xdr:col>9</xdr:col>
      <xdr:colOff>609600</xdr:colOff>
      <xdr:row>10</xdr:row>
      <xdr:rowOff>19050</xdr:rowOff>
    </xdr:from>
    <xdr:to>
      <xdr:col>11</xdr:col>
      <xdr:colOff>104897</xdr:colOff>
      <xdr:row>12</xdr:row>
      <xdr:rowOff>120</xdr:rowOff>
    </xdr:to>
    <xdr:pic>
      <xdr:nvPicPr>
        <xdr:cNvPr id="8" name="Imagine 7">
          <a:extLst>
            <a:ext uri="{FF2B5EF4-FFF2-40B4-BE49-F238E27FC236}">
              <a16:creationId xmlns:a16="http://schemas.microsoft.com/office/drawing/2014/main" id="{D7225897-7885-494D-A5F7-86BCE342B87B}"/>
            </a:ext>
          </a:extLst>
        </xdr:cNvPr>
        <xdr:cNvPicPr>
          <a:picLocks noChangeAspect="1"/>
        </xdr:cNvPicPr>
      </xdr:nvPicPr>
      <xdr:blipFill>
        <a:blip xmlns:r="http://schemas.openxmlformats.org/officeDocument/2006/relationships" r:embed="rId9"/>
        <a:stretch>
          <a:fillRect/>
        </a:stretch>
      </xdr:blipFill>
      <xdr:spPr>
        <a:xfrm>
          <a:off x="8782050" y="3495675"/>
          <a:ext cx="876422" cy="857370"/>
        </a:xfrm>
        <a:prstGeom prst="rect">
          <a:avLst/>
        </a:prstGeom>
      </xdr:spPr>
    </xdr:pic>
    <xdr:clientData/>
  </xdr:twoCellAnchor>
  <xdr:twoCellAnchor editAs="oneCell">
    <xdr:from>
      <xdr:col>13</xdr:col>
      <xdr:colOff>19050</xdr:colOff>
      <xdr:row>10</xdr:row>
      <xdr:rowOff>323850</xdr:rowOff>
    </xdr:from>
    <xdr:to>
      <xdr:col>13</xdr:col>
      <xdr:colOff>577850</xdr:colOff>
      <xdr:row>12</xdr:row>
      <xdr:rowOff>44757</xdr:rowOff>
    </xdr:to>
    <xdr:pic>
      <xdr:nvPicPr>
        <xdr:cNvPr id="4" name="Picture 3">
          <a:extLst>
            <a:ext uri="{FF2B5EF4-FFF2-40B4-BE49-F238E27FC236}">
              <a16:creationId xmlns:a16="http://schemas.microsoft.com/office/drawing/2014/main" id="{BF646C62-DD32-43A7-8F2E-0A83E4D0E9AC}"/>
            </a:ext>
          </a:extLst>
        </xdr:cNvPr>
        <xdr:cNvPicPr>
          <a:picLocks noChangeAspect="1"/>
        </xdr:cNvPicPr>
      </xdr:nvPicPr>
      <xdr:blipFill>
        <a:blip xmlns:r="http://schemas.openxmlformats.org/officeDocument/2006/relationships" r:embed="rId10"/>
        <a:stretch>
          <a:fillRect/>
        </a:stretch>
      </xdr:blipFill>
      <xdr:spPr>
        <a:xfrm>
          <a:off x="11439525" y="3733800"/>
          <a:ext cx="558800" cy="597207"/>
        </a:xfrm>
        <a:prstGeom prst="rect">
          <a:avLst/>
        </a:prstGeom>
      </xdr:spPr>
    </xdr:pic>
    <xdr:clientData/>
  </xdr:twoCellAnchor>
  <xdr:twoCellAnchor editAs="oneCell">
    <xdr:from>
      <xdr:col>7</xdr:col>
      <xdr:colOff>187325</xdr:colOff>
      <xdr:row>10</xdr:row>
      <xdr:rowOff>6350</xdr:rowOff>
    </xdr:from>
    <xdr:to>
      <xdr:col>9</xdr:col>
      <xdr:colOff>190633</xdr:colOff>
      <xdr:row>12</xdr:row>
      <xdr:rowOff>111261</xdr:rowOff>
    </xdr:to>
    <xdr:pic>
      <xdr:nvPicPr>
        <xdr:cNvPr id="7" name="Picture 6">
          <a:extLst>
            <a:ext uri="{FF2B5EF4-FFF2-40B4-BE49-F238E27FC236}">
              <a16:creationId xmlns:a16="http://schemas.microsoft.com/office/drawing/2014/main" id="{79F13081-A117-490A-A57F-6B93AA43129F}"/>
            </a:ext>
          </a:extLst>
        </xdr:cNvPr>
        <xdr:cNvPicPr>
          <a:picLocks noChangeAspect="1"/>
        </xdr:cNvPicPr>
      </xdr:nvPicPr>
      <xdr:blipFill>
        <a:blip xmlns:r="http://schemas.openxmlformats.org/officeDocument/2006/relationships" r:embed="rId11"/>
        <a:stretch>
          <a:fillRect/>
        </a:stretch>
      </xdr:blipFill>
      <xdr:spPr>
        <a:xfrm>
          <a:off x="7807325" y="3416300"/>
          <a:ext cx="955808" cy="9812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youtube.com/watch?v=sQn3_4sojD8" TargetMode="External"/><Relationship Id="rId1" Type="http://schemas.openxmlformats.org/officeDocument/2006/relationships/hyperlink" Target="http://www.magnumheating.ro/"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agnumheating.ro/" TargetMode="External"/><Relationship Id="rId6" Type="http://schemas.openxmlformats.org/officeDocument/2006/relationships/comments" Target="../comments10.xml"/><Relationship Id="rId5" Type="http://schemas.openxmlformats.org/officeDocument/2006/relationships/vmlDrawing" Target="../drawings/vmlDrawing20.vml"/><Relationship Id="rId4"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2.xml"/><Relationship Id="rId2" Type="http://schemas.openxmlformats.org/officeDocument/2006/relationships/hyperlink" Target="https://www.youtube.com/watch?v=HiadbKfJ80E&amp;t=22s" TargetMode="External"/><Relationship Id="rId1" Type="http://schemas.openxmlformats.org/officeDocument/2006/relationships/hyperlink" Target="http://www.magnumheating.ro/" TargetMode="External"/><Relationship Id="rId6" Type="http://schemas.openxmlformats.org/officeDocument/2006/relationships/vmlDrawing" Target="../drawings/vmlDrawing4.v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magnumheating.ro/" TargetMode="External"/><Relationship Id="rId6" Type="http://schemas.openxmlformats.org/officeDocument/2006/relationships/comments" Target="../comments3.xml"/><Relationship Id="rId5" Type="http://schemas.openxmlformats.org/officeDocument/2006/relationships/vmlDrawing" Target="../drawings/vmlDrawing6.v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agnumheating.ro/" TargetMode="External"/><Relationship Id="rId6" Type="http://schemas.openxmlformats.org/officeDocument/2006/relationships/comments" Target="../comments4.xml"/><Relationship Id="rId5" Type="http://schemas.openxmlformats.org/officeDocument/2006/relationships/vmlDrawing" Target="../drawings/vmlDrawing8.vml"/><Relationship Id="rId4" Type="http://schemas.openxmlformats.org/officeDocument/2006/relationships/vmlDrawing" Target="../drawings/vmlDrawing7.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magnumheating.ro/" TargetMode="External"/><Relationship Id="rId6" Type="http://schemas.openxmlformats.org/officeDocument/2006/relationships/comments" Target="../comments5.xml"/><Relationship Id="rId5" Type="http://schemas.openxmlformats.org/officeDocument/2006/relationships/vmlDrawing" Target="../drawings/vmlDrawing10.vml"/><Relationship Id="rId4" Type="http://schemas.openxmlformats.org/officeDocument/2006/relationships/vmlDrawing" Target="../drawings/vmlDrawing9.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magnumheating.ro/" TargetMode="External"/><Relationship Id="rId6" Type="http://schemas.openxmlformats.org/officeDocument/2006/relationships/comments" Target="../comments6.xml"/><Relationship Id="rId5" Type="http://schemas.openxmlformats.org/officeDocument/2006/relationships/vmlDrawing" Target="../drawings/vmlDrawing12.vml"/><Relationship Id="rId4" Type="http://schemas.openxmlformats.org/officeDocument/2006/relationships/vmlDrawing" Target="../drawings/vmlDrawing1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magnumheating.ro/" TargetMode="External"/><Relationship Id="rId6" Type="http://schemas.openxmlformats.org/officeDocument/2006/relationships/comments" Target="../comments7.xml"/><Relationship Id="rId5" Type="http://schemas.openxmlformats.org/officeDocument/2006/relationships/vmlDrawing" Target="../drawings/vmlDrawing14.vml"/><Relationship Id="rId4" Type="http://schemas.openxmlformats.org/officeDocument/2006/relationships/vmlDrawing" Target="../drawings/vmlDrawing13.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magnumheating.ro/" TargetMode="External"/><Relationship Id="rId6" Type="http://schemas.openxmlformats.org/officeDocument/2006/relationships/comments" Target="../comments8.xml"/><Relationship Id="rId5" Type="http://schemas.openxmlformats.org/officeDocument/2006/relationships/vmlDrawing" Target="../drawings/vmlDrawing16.vml"/><Relationship Id="rId4" Type="http://schemas.openxmlformats.org/officeDocument/2006/relationships/vmlDrawing" Target="../drawings/vmlDrawing1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agnumheating.ro/" TargetMode="External"/><Relationship Id="rId6" Type="http://schemas.openxmlformats.org/officeDocument/2006/relationships/comments" Target="../comments9.xml"/><Relationship Id="rId5" Type="http://schemas.openxmlformats.org/officeDocument/2006/relationships/vmlDrawing" Target="../drawings/vmlDrawing18.vml"/><Relationship Id="rId4" Type="http://schemas.openxmlformats.org/officeDocument/2006/relationships/vmlDrawing" Target="../drawings/vmlDrawing1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aie1">
    <tabColor rgb="FFFF00FF"/>
  </sheetPr>
  <dimension ref="A1:AD122"/>
  <sheetViews>
    <sheetView zoomScaleNormal="100" zoomScaleSheetLayoutView="100" workbookViewId="0">
      <selection activeCell="M62" sqref="M62"/>
    </sheetView>
  </sheetViews>
  <sheetFormatPr defaultColWidth="9.109375" defaultRowHeight="11.4" x14ac:dyDescent="0.2"/>
  <cols>
    <col min="1" max="1" width="6" style="6" customWidth="1"/>
    <col min="2" max="2" width="8.44140625" style="6" customWidth="1"/>
    <col min="3" max="3" width="57" style="6" customWidth="1"/>
    <col min="4" max="4" width="9.109375" style="6" customWidth="1"/>
    <col min="5" max="5" width="5.44140625" style="6" customWidth="1"/>
    <col min="6" max="6" width="10.5546875" style="6" customWidth="1"/>
    <col min="7" max="7" width="12.6640625" style="6" customWidth="1"/>
    <col min="8" max="8" width="6.33203125" style="6" customWidth="1"/>
    <col min="9" max="9" width="6.88671875" style="6" customWidth="1"/>
    <col min="10" max="10" width="11.109375" style="6" customWidth="1"/>
    <col min="11" max="11" width="8.88671875" style="6" customWidth="1"/>
    <col min="12" max="13" width="9.109375" style="6" customWidth="1"/>
    <col min="14" max="14" width="8" style="6" customWidth="1"/>
    <col min="15" max="16" width="9.109375" style="6" customWidth="1"/>
    <col min="17" max="17" width="9.77734375" style="6" customWidth="1"/>
    <col min="18" max="18" width="9.6640625" style="6" customWidth="1"/>
    <col min="19" max="19" width="8.6640625" style="6" customWidth="1"/>
    <col min="20" max="21" width="8.5546875" style="6" customWidth="1"/>
    <col min="22" max="22" width="8.6640625" style="6" customWidth="1"/>
    <col min="23" max="23" width="8.33203125" style="6" customWidth="1"/>
    <col min="24" max="24" width="8" style="6" customWidth="1"/>
    <col min="25" max="25" width="7.77734375" style="6" customWidth="1"/>
    <col min="26" max="26" width="8.109375" style="6" customWidth="1"/>
    <col min="27" max="27" width="7.77734375" style="6" customWidth="1"/>
    <col min="28" max="28" width="8.109375" style="6" customWidth="1"/>
    <col min="29" max="16384" width="9.109375" style="6"/>
  </cols>
  <sheetData>
    <row r="1" spans="1:26" ht="123.75" customHeight="1" x14ac:dyDescent="0.2">
      <c r="C1" s="405" t="s">
        <v>382</v>
      </c>
      <c r="D1" s="405"/>
      <c r="E1" s="405"/>
      <c r="F1" s="405"/>
      <c r="G1" s="405"/>
      <c r="H1" s="10"/>
      <c r="I1" s="10"/>
    </row>
    <row r="2" spans="1:26" customFormat="1" ht="14.4" x14ac:dyDescent="0.3">
      <c r="A2" s="408" t="s">
        <v>420</v>
      </c>
      <c r="B2" s="409"/>
      <c r="C2" s="409"/>
    </row>
    <row r="3" spans="1:26" customFormat="1" ht="7.5" customHeight="1" x14ac:dyDescent="0.3">
      <c r="A3" s="106"/>
    </row>
    <row r="4" spans="1:26" customFormat="1" ht="14.4" x14ac:dyDescent="0.3">
      <c r="A4" s="408" t="s">
        <v>114</v>
      </c>
      <c r="B4" s="409"/>
      <c r="C4" s="409"/>
    </row>
    <row r="5" spans="1:26" customFormat="1" ht="14.4" x14ac:dyDescent="0.3">
      <c r="A5" s="408" t="s">
        <v>379</v>
      </c>
      <c r="B5" s="409"/>
      <c r="C5" s="409"/>
    </row>
    <row r="6" spans="1:26" customFormat="1" ht="14.4" x14ac:dyDescent="0.3">
      <c r="A6" s="408" t="s">
        <v>23</v>
      </c>
      <c r="B6" s="409"/>
      <c r="C6" s="409"/>
    </row>
    <row r="7" spans="1:26" customFormat="1" ht="14.4" x14ac:dyDescent="0.3">
      <c r="A7" s="408" t="s">
        <v>13</v>
      </c>
      <c r="B7" s="409"/>
      <c r="C7" s="409"/>
    </row>
    <row r="8" spans="1:26" customFormat="1" ht="14.4" x14ac:dyDescent="0.3">
      <c r="A8" s="408" t="s">
        <v>131</v>
      </c>
      <c r="B8" s="409"/>
      <c r="C8" s="409"/>
    </row>
    <row r="9" spans="1:26" ht="29.25" customHeight="1" thickBot="1" x14ac:dyDescent="0.25">
      <c r="A9" s="406" t="s">
        <v>0</v>
      </c>
      <c r="B9" s="406"/>
      <c r="C9" s="406"/>
      <c r="D9" s="406"/>
      <c r="E9" s="406"/>
      <c r="F9" s="406"/>
      <c r="G9" s="12" t="s">
        <v>186</v>
      </c>
      <c r="H9" s="4"/>
      <c r="I9" s="5"/>
      <c r="J9" s="5"/>
      <c r="K9" s="5"/>
      <c r="L9" s="5"/>
      <c r="M9" s="5"/>
      <c r="N9" s="5"/>
      <c r="O9" s="5"/>
      <c r="P9" s="5"/>
      <c r="Q9" s="5"/>
      <c r="R9" s="5"/>
      <c r="S9" s="5"/>
      <c r="T9" s="5"/>
      <c r="U9" s="5"/>
    </row>
    <row r="10" spans="1:26" ht="30.75" customHeight="1" thickTop="1" thickBot="1" x14ac:dyDescent="0.25">
      <c r="A10" s="406" t="s">
        <v>130</v>
      </c>
      <c r="B10" s="406"/>
      <c r="C10" s="406"/>
      <c r="D10" s="406"/>
      <c r="E10" s="406"/>
      <c r="F10" s="406"/>
      <c r="G10" s="128">
        <f>K120</f>
        <v>0</v>
      </c>
      <c r="H10" s="319"/>
      <c r="I10" s="320"/>
      <c r="J10" s="320"/>
      <c r="K10" s="320"/>
      <c r="L10" s="320"/>
      <c r="M10" s="320"/>
      <c r="N10" s="320"/>
      <c r="O10" s="320"/>
      <c r="P10" s="320"/>
      <c r="Q10" s="320"/>
      <c r="R10" s="320"/>
      <c r="S10" s="320"/>
      <c r="T10" s="320"/>
      <c r="U10" s="320"/>
      <c r="V10" s="394"/>
      <c r="W10" s="395"/>
      <c r="X10" s="130"/>
      <c r="Y10" s="130"/>
      <c r="Z10" s="130"/>
    </row>
    <row r="11" spans="1:26" ht="18" customHeight="1" thickTop="1" thickBot="1" x14ac:dyDescent="0.25">
      <c r="A11" s="101"/>
      <c r="B11" s="101"/>
      <c r="C11" s="101"/>
      <c r="D11" s="289" t="s">
        <v>270</v>
      </c>
      <c r="E11" s="288"/>
      <c r="F11" s="396" t="s">
        <v>271</v>
      </c>
      <c r="G11" s="397"/>
      <c r="H11" s="319"/>
      <c r="I11" s="320"/>
      <c r="J11" s="320"/>
      <c r="K11" s="320"/>
      <c r="L11" s="320"/>
      <c r="M11" s="320"/>
      <c r="N11" s="320"/>
      <c r="O11" s="320"/>
      <c r="P11" s="320"/>
      <c r="Q11" s="320"/>
      <c r="R11" s="320"/>
      <c r="S11" s="320"/>
      <c r="T11" s="320"/>
      <c r="U11" s="320"/>
      <c r="V11" s="395"/>
      <c r="W11" s="395"/>
      <c r="X11" s="130"/>
      <c r="Y11" s="130"/>
      <c r="Z11" s="130"/>
    </row>
    <row r="12" spans="1:26" ht="18" customHeight="1" thickTop="1" thickBot="1" x14ac:dyDescent="0.25">
      <c r="A12" s="101"/>
      <c r="B12" s="101"/>
      <c r="C12" s="101"/>
      <c r="D12" s="289" t="s">
        <v>270</v>
      </c>
      <c r="E12" s="288" t="s">
        <v>66</v>
      </c>
      <c r="F12" s="396" t="s">
        <v>334</v>
      </c>
      <c r="G12" s="397"/>
      <c r="H12" s="319"/>
      <c r="I12" s="320"/>
      <c r="J12" s="320"/>
      <c r="K12" s="320"/>
      <c r="L12" s="320"/>
      <c r="M12" s="320"/>
      <c r="N12" s="320"/>
      <c r="O12" s="320"/>
      <c r="P12" s="320"/>
      <c r="Q12" s="320"/>
      <c r="R12" s="320"/>
      <c r="S12" s="320"/>
      <c r="T12" s="320"/>
      <c r="U12" s="320"/>
      <c r="V12" s="395"/>
      <c r="W12" s="395"/>
      <c r="X12" s="130"/>
      <c r="Y12" s="130"/>
      <c r="Z12" s="130"/>
    </row>
    <row r="13" spans="1:26" ht="18" customHeight="1" thickTop="1" thickBot="1" x14ac:dyDescent="0.25">
      <c r="A13" s="101"/>
      <c r="B13" s="101"/>
      <c r="C13" s="101"/>
      <c r="D13" s="289" t="s">
        <v>270</v>
      </c>
      <c r="E13" s="288"/>
      <c r="F13" s="396" t="s">
        <v>272</v>
      </c>
      <c r="G13" s="397"/>
      <c r="H13" s="319"/>
      <c r="I13" s="320"/>
      <c r="J13" s="320"/>
      <c r="K13" s="320"/>
      <c r="L13" s="320"/>
      <c r="M13" s="320"/>
      <c r="N13" s="320"/>
      <c r="O13" s="320"/>
      <c r="P13" s="320"/>
      <c r="Q13" s="320"/>
      <c r="R13" s="320"/>
      <c r="S13" s="320"/>
      <c r="T13" s="320"/>
      <c r="U13" s="320"/>
      <c r="V13" s="395"/>
      <c r="W13" s="395"/>
      <c r="X13" s="130"/>
      <c r="Y13" s="130"/>
      <c r="Z13" s="130"/>
    </row>
    <row r="14" spans="1:26" ht="39" customHeight="1" thickTop="1" x14ac:dyDescent="0.2">
      <c r="A14" s="4"/>
      <c r="B14" s="4"/>
      <c r="C14" s="4"/>
      <c r="D14" s="4"/>
      <c r="E14" s="4"/>
      <c r="F14" s="4"/>
      <c r="G14" s="4"/>
      <c r="H14" s="4"/>
      <c r="I14" s="5"/>
      <c r="J14" s="5"/>
      <c r="K14" s="5"/>
      <c r="L14" s="5"/>
      <c r="M14" s="5"/>
      <c r="N14" s="5"/>
      <c r="O14" s="5"/>
      <c r="P14" s="5"/>
      <c r="Q14" s="5"/>
      <c r="R14" s="5"/>
      <c r="S14" s="5"/>
      <c r="T14" s="5"/>
      <c r="U14" s="5"/>
    </row>
    <row r="15" spans="1:26" ht="39" customHeight="1" x14ac:dyDescent="0.2">
      <c r="A15" s="4"/>
      <c r="B15" s="4"/>
      <c r="C15" s="4"/>
      <c r="D15" s="4"/>
      <c r="E15" s="4"/>
      <c r="F15" s="4"/>
      <c r="G15" s="4"/>
      <c r="H15" s="4"/>
      <c r="I15" s="5"/>
      <c r="J15" s="12" t="s">
        <v>220</v>
      </c>
      <c r="K15" s="5"/>
      <c r="L15" s="12" t="s">
        <v>101</v>
      </c>
      <c r="M15" s="5"/>
      <c r="N15" s="97" t="s">
        <v>102</v>
      </c>
      <c r="O15" s="5"/>
      <c r="P15" s="12" t="s">
        <v>100</v>
      </c>
      <c r="Q15" s="217" t="s">
        <v>329</v>
      </c>
      <c r="R15" s="217"/>
      <c r="S15" s="97"/>
      <c r="T15" s="5"/>
      <c r="U15" s="5"/>
    </row>
    <row r="16" spans="1:26" ht="18" customHeight="1" x14ac:dyDescent="0.2">
      <c r="A16" s="4"/>
      <c r="B16" s="4"/>
      <c r="C16" s="12" t="s">
        <v>181</v>
      </c>
      <c r="E16" s="4"/>
      <c r="F16" s="129" t="s">
        <v>317</v>
      </c>
      <c r="G16" s="12"/>
      <c r="H16" s="4"/>
      <c r="I16" s="87"/>
      <c r="J16" s="87"/>
      <c r="K16" s="9"/>
      <c r="L16" s="9"/>
      <c r="M16" s="9"/>
      <c r="N16" s="97"/>
      <c r="O16" s="5"/>
      <c r="P16" s="5"/>
      <c r="Q16" s="87"/>
      <c r="R16" s="5"/>
      <c r="S16" s="97"/>
      <c r="T16" s="5"/>
      <c r="U16" s="5"/>
    </row>
    <row r="17" spans="1:21" ht="22.5" customHeight="1" x14ac:dyDescent="0.4">
      <c r="A17" s="398" t="s">
        <v>60</v>
      </c>
      <c r="B17" s="399"/>
      <c r="C17" s="399"/>
      <c r="D17" s="399"/>
      <c r="E17" s="399"/>
      <c r="F17" s="399"/>
      <c r="G17" s="399"/>
      <c r="H17" s="4"/>
      <c r="I17" s="87"/>
      <c r="J17" s="5"/>
      <c r="K17" s="9"/>
      <c r="L17" s="9"/>
      <c r="M17" s="9"/>
      <c r="N17" s="5"/>
      <c r="O17" s="5"/>
      <c r="P17" s="5"/>
      <c r="Q17" s="5"/>
      <c r="R17" s="5"/>
      <c r="S17" s="5"/>
      <c r="T17" s="5"/>
      <c r="U17" s="5"/>
    </row>
    <row r="18" spans="1:21" ht="10.5" customHeight="1" thickBot="1" x14ac:dyDescent="0.45">
      <c r="A18" s="410"/>
      <c r="B18" s="411"/>
      <c r="C18" s="411"/>
      <c r="D18" s="411"/>
      <c r="E18" s="411"/>
      <c r="F18" s="411"/>
      <c r="G18" s="411"/>
      <c r="H18" s="5"/>
      <c r="I18" s="5"/>
      <c r="J18" s="5"/>
      <c r="K18" s="5"/>
      <c r="L18" s="5"/>
      <c r="M18" s="5"/>
      <c r="N18" s="5"/>
      <c r="O18" s="5"/>
      <c r="P18" s="5"/>
      <c r="Q18" s="5"/>
      <c r="R18" s="5"/>
      <c r="S18" s="5"/>
      <c r="T18" s="5"/>
      <c r="U18" s="5"/>
    </row>
    <row r="19" spans="1:21" ht="27" customHeight="1" thickTop="1" thickBot="1" x14ac:dyDescent="0.25">
      <c r="A19" s="32" t="s">
        <v>1</v>
      </c>
      <c r="B19" s="407" t="s">
        <v>3</v>
      </c>
      <c r="C19" s="407" t="s">
        <v>4</v>
      </c>
      <c r="D19" s="407" t="s">
        <v>5</v>
      </c>
      <c r="E19" s="407" t="s">
        <v>368</v>
      </c>
      <c r="F19" s="32" t="s">
        <v>7</v>
      </c>
      <c r="G19" s="32" t="s">
        <v>9</v>
      </c>
      <c r="H19" s="5"/>
      <c r="R19" s="190"/>
    </row>
    <row r="20" spans="1:21" ht="27" customHeight="1" thickTop="1" thickBot="1" x14ac:dyDescent="0.25">
      <c r="A20" s="32" t="s">
        <v>2</v>
      </c>
      <c r="B20" s="407"/>
      <c r="C20" s="407"/>
      <c r="D20" s="407"/>
      <c r="E20" s="407"/>
      <c r="F20" s="32" t="s">
        <v>8</v>
      </c>
      <c r="G20" s="32" t="s">
        <v>8</v>
      </c>
      <c r="H20" s="281"/>
      <c r="R20" s="354" t="s">
        <v>335</v>
      </c>
    </row>
    <row r="21" spans="1:21" ht="20.100000000000001" customHeight="1" thickTop="1" thickBot="1" x14ac:dyDescent="0.25">
      <c r="A21" s="401" t="s">
        <v>322</v>
      </c>
      <c r="B21" s="402"/>
      <c r="C21" s="402"/>
      <c r="D21" s="402"/>
      <c r="E21" s="290"/>
      <c r="F21" s="290"/>
      <c r="G21" s="329"/>
      <c r="H21" s="48">
        <f>SUM(H22:H31)</f>
        <v>0</v>
      </c>
      <c r="K21" s="9"/>
      <c r="L21" s="9"/>
      <c r="M21" s="9"/>
      <c r="R21" s="355" t="s">
        <v>63</v>
      </c>
    </row>
    <row r="22" spans="1:21" ht="16.5" customHeight="1" thickTop="1" thickBot="1" x14ac:dyDescent="0.25">
      <c r="A22" s="22"/>
      <c r="B22" s="22">
        <v>140301</v>
      </c>
      <c r="C22" s="24" t="s">
        <v>225</v>
      </c>
      <c r="D22" s="23" t="s">
        <v>10</v>
      </c>
      <c r="E22" s="23">
        <f>COUNTIF(V95:V119,300)+COUNTIF(W95:W119,300)+COUNTIF(X95:X119,300)</f>
        <v>0</v>
      </c>
      <c r="F22" s="340">
        <v>29</v>
      </c>
      <c r="G22" s="153">
        <f t="shared" ref="G22:G31" si="0">E22*F22</f>
        <v>0</v>
      </c>
      <c r="H22" s="48">
        <f>E22</f>
        <v>0</v>
      </c>
      <c r="R22" s="355">
        <f>E22*300</f>
        <v>0</v>
      </c>
    </row>
    <row r="23" spans="1:21" ht="16.5" customHeight="1" thickTop="1" thickBot="1" x14ac:dyDescent="0.25">
      <c r="A23" s="22"/>
      <c r="B23" s="22">
        <v>140501</v>
      </c>
      <c r="C23" s="24" t="s">
        <v>226</v>
      </c>
      <c r="D23" s="23" t="s">
        <v>10</v>
      </c>
      <c r="E23" s="23">
        <f>COUNTIF(V96:V120,500)+COUNTIF(W96:W120,500)+COUNTIF(X96:X120,500)</f>
        <v>0</v>
      </c>
      <c r="F23" s="340">
        <v>42</v>
      </c>
      <c r="G23" s="153">
        <f t="shared" si="0"/>
        <v>0</v>
      </c>
      <c r="H23" s="48">
        <f t="shared" ref="H23:H31" si="1">E23</f>
        <v>0</v>
      </c>
      <c r="R23" s="355">
        <f>E23*500</f>
        <v>0</v>
      </c>
    </row>
    <row r="24" spans="1:21" ht="16.5" customHeight="1" thickTop="1" thickBot="1" x14ac:dyDescent="0.25">
      <c r="A24" s="22"/>
      <c r="B24" s="22">
        <v>141001</v>
      </c>
      <c r="C24" s="24" t="s">
        <v>227</v>
      </c>
      <c r="D24" s="23" t="s">
        <v>10</v>
      </c>
      <c r="E24" s="23">
        <f>COUNTIF(V95:V119,1000)+COUNTIF(W95:W119,1000)+COUNTIF(X95:X119,1000)</f>
        <v>0</v>
      </c>
      <c r="F24" s="340">
        <v>85</v>
      </c>
      <c r="G24" s="153">
        <f t="shared" si="0"/>
        <v>0</v>
      </c>
      <c r="H24" s="48">
        <f t="shared" si="1"/>
        <v>0</v>
      </c>
      <c r="R24" s="355">
        <f>E24*1000</f>
        <v>0</v>
      </c>
    </row>
    <row r="25" spans="1:21" ht="16.5" customHeight="1" thickTop="1" thickBot="1" x14ac:dyDescent="0.25">
      <c r="A25" s="22"/>
      <c r="B25" s="22">
        <v>141201</v>
      </c>
      <c r="C25" s="24" t="s">
        <v>228</v>
      </c>
      <c r="D25" s="23" t="s">
        <v>10</v>
      </c>
      <c r="E25" s="23">
        <f>COUNTIF(V95:V119,1200)+COUNTIF(W95:W119,1200)+COUNTIF(X95:X119,1200)</f>
        <v>0</v>
      </c>
      <c r="F25" s="340">
        <v>104</v>
      </c>
      <c r="G25" s="153">
        <f t="shared" si="0"/>
        <v>0</v>
      </c>
      <c r="H25" s="48">
        <f t="shared" si="1"/>
        <v>0</v>
      </c>
      <c r="R25" s="355">
        <f>E25*1200</f>
        <v>0</v>
      </c>
    </row>
    <row r="26" spans="1:21" ht="16.5" customHeight="1" thickTop="1" thickBot="1" x14ac:dyDescent="0.25">
      <c r="A26" s="22"/>
      <c r="B26" s="22">
        <v>141601</v>
      </c>
      <c r="C26" s="24" t="s">
        <v>229</v>
      </c>
      <c r="D26" s="23" t="s">
        <v>10</v>
      </c>
      <c r="E26" s="23">
        <f>COUNTIF(V95:V119,1600)+COUNTIF(W95:W119,1600)+COUNTIF(X95:X119,1600)</f>
        <v>0</v>
      </c>
      <c r="F26" s="340">
        <v>145</v>
      </c>
      <c r="G26" s="153">
        <f t="shared" si="0"/>
        <v>0</v>
      </c>
      <c r="H26" s="48">
        <f t="shared" si="1"/>
        <v>0</v>
      </c>
      <c r="R26" s="355">
        <f>E26*1600</f>
        <v>0</v>
      </c>
    </row>
    <row r="27" spans="1:21" ht="16.5" customHeight="1" thickTop="1" thickBot="1" x14ac:dyDescent="0.25">
      <c r="A27" s="22"/>
      <c r="B27" s="22">
        <v>141801</v>
      </c>
      <c r="C27" s="24" t="s">
        <v>230</v>
      </c>
      <c r="D27" s="23" t="s">
        <v>10</v>
      </c>
      <c r="E27" s="23">
        <f>COUNTIF(V95:V119,1800)+COUNTIF(W95:W119,1800)+COUNTIF(X95:X119,1800)</f>
        <v>0</v>
      </c>
      <c r="F27" s="340">
        <v>163</v>
      </c>
      <c r="G27" s="153">
        <f t="shared" si="0"/>
        <v>0</v>
      </c>
      <c r="H27" s="48">
        <f t="shared" si="1"/>
        <v>0</v>
      </c>
      <c r="K27" s="9"/>
      <c r="L27" s="9"/>
      <c r="M27" s="9"/>
      <c r="R27" s="355">
        <f>E27*1800</f>
        <v>0</v>
      </c>
    </row>
    <row r="28" spans="1:21" ht="16.5" customHeight="1" thickTop="1" thickBot="1" x14ac:dyDescent="0.25">
      <c r="A28" s="22"/>
      <c r="B28" s="22">
        <v>142001</v>
      </c>
      <c r="C28" s="24" t="s">
        <v>231</v>
      </c>
      <c r="D28" s="23" t="s">
        <v>10</v>
      </c>
      <c r="E28" s="23">
        <f>COUNTIF(V95:V119,2000)+COUNTIF(W95:W119,2000)+COUNTIF(X95:X119,2000)</f>
        <v>0</v>
      </c>
      <c r="F28" s="340">
        <v>182</v>
      </c>
      <c r="G28" s="153">
        <f t="shared" si="0"/>
        <v>0</v>
      </c>
      <c r="H28" s="48">
        <f t="shared" si="1"/>
        <v>0</v>
      </c>
      <c r="R28" s="355">
        <f>E28*2000</f>
        <v>0</v>
      </c>
    </row>
    <row r="29" spans="1:21" ht="16.5" customHeight="1" thickTop="1" thickBot="1" x14ac:dyDescent="0.25">
      <c r="A29" s="22"/>
      <c r="B29" s="22">
        <v>142401</v>
      </c>
      <c r="C29" s="24" t="s">
        <v>232</v>
      </c>
      <c r="D29" s="23" t="s">
        <v>10</v>
      </c>
      <c r="E29" s="23">
        <f>COUNTIF(V95:V119,2400)+COUNTIF(W95:W119,2400)+COUNTIF(X95:X119,2400)</f>
        <v>0</v>
      </c>
      <c r="F29" s="340">
        <v>222</v>
      </c>
      <c r="G29" s="153">
        <f t="shared" si="0"/>
        <v>0</v>
      </c>
      <c r="H29" s="48">
        <f t="shared" si="1"/>
        <v>0</v>
      </c>
      <c r="R29" s="355">
        <f>E29*2400</f>
        <v>0</v>
      </c>
    </row>
    <row r="30" spans="1:21" ht="16.5" customHeight="1" thickTop="1" thickBot="1" x14ac:dyDescent="0.25">
      <c r="A30" s="22"/>
      <c r="B30" s="22">
        <v>142801</v>
      </c>
      <c r="C30" s="24" t="s">
        <v>233</v>
      </c>
      <c r="D30" s="23" t="s">
        <v>10</v>
      </c>
      <c r="E30" s="23">
        <f>COUNTIF(V95:V119,2800)+COUNTIF(W95:W119,2800)+COUNTIF(X95:X119,2800)</f>
        <v>0</v>
      </c>
      <c r="F30" s="340">
        <v>265</v>
      </c>
      <c r="G30" s="153">
        <f t="shared" si="0"/>
        <v>0</v>
      </c>
      <c r="H30" s="48">
        <f t="shared" si="1"/>
        <v>0</v>
      </c>
      <c r="R30" s="355">
        <f>E30*2800</f>
        <v>0</v>
      </c>
    </row>
    <row r="31" spans="1:21" ht="16.5" customHeight="1" thickTop="1" thickBot="1" x14ac:dyDescent="0.25">
      <c r="A31" s="22"/>
      <c r="B31" s="22">
        <v>143201</v>
      </c>
      <c r="C31" s="24" t="s">
        <v>234</v>
      </c>
      <c r="D31" s="23" t="s">
        <v>10</v>
      </c>
      <c r="E31" s="23">
        <f>COUNTIF(V95:V119,3200)+COUNTIF(W95:W119,3200)+COUNTIF(X95:X119,3200)</f>
        <v>0</v>
      </c>
      <c r="F31" s="340">
        <v>313</v>
      </c>
      <c r="G31" s="153">
        <f t="shared" si="0"/>
        <v>0</v>
      </c>
      <c r="H31" s="48">
        <f t="shared" si="1"/>
        <v>0</v>
      </c>
      <c r="R31" s="355">
        <f>E31*3200</f>
        <v>0</v>
      </c>
    </row>
    <row r="32" spans="1:21" ht="18" customHeight="1" thickTop="1" thickBot="1" x14ac:dyDescent="0.25">
      <c r="A32" s="401" t="s">
        <v>330</v>
      </c>
      <c r="B32" s="402"/>
      <c r="C32" s="402"/>
      <c r="D32" s="402"/>
      <c r="E32" s="307"/>
      <c r="F32" s="341"/>
      <c r="G32" s="298"/>
      <c r="H32" s="48">
        <f>SUM(H33:H43)</f>
        <v>0</v>
      </c>
      <c r="R32" s="355"/>
    </row>
    <row r="33" spans="1:18" ht="16.5" customHeight="1" thickTop="1" thickBot="1" x14ac:dyDescent="0.25">
      <c r="A33" s="22"/>
      <c r="B33" s="23">
        <v>120300</v>
      </c>
      <c r="C33" s="24" t="s">
        <v>26</v>
      </c>
      <c r="D33" s="23" t="s">
        <v>10</v>
      </c>
      <c r="E33" s="23">
        <f>COUNTIF(S95:S119,300)+COUNTIF(T95:T119,300)+COUNTIF(U95:U119,300)</f>
        <v>0</v>
      </c>
      <c r="F33" s="342">
        <v>44</v>
      </c>
      <c r="G33" s="153">
        <f t="shared" ref="G33:G43" si="2">E33*F33</f>
        <v>0</v>
      </c>
      <c r="H33" s="48">
        <f t="shared" ref="H33:H43" si="3">E33</f>
        <v>0</v>
      </c>
      <c r="R33" s="355">
        <f>E33*300</f>
        <v>0</v>
      </c>
    </row>
    <row r="34" spans="1:18" ht="16.5" customHeight="1" thickTop="1" thickBot="1" x14ac:dyDescent="0.25">
      <c r="A34" s="299"/>
      <c r="B34" s="297">
        <v>120500</v>
      </c>
      <c r="C34" s="300" t="s">
        <v>117</v>
      </c>
      <c r="D34" s="297" t="s">
        <v>10</v>
      </c>
      <c r="E34" s="297">
        <f>COUNTIF(S95:S119,500)+COUNTIF(T95:T119,500)+COUNTIF(U95:U119,500)</f>
        <v>0</v>
      </c>
      <c r="F34" s="343">
        <v>65</v>
      </c>
      <c r="G34" s="305">
        <f t="shared" si="2"/>
        <v>0</v>
      </c>
      <c r="H34" s="48">
        <f t="shared" si="3"/>
        <v>0</v>
      </c>
      <c r="R34" s="355">
        <f>E34*500</f>
        <v>0</v>
      </c>
    </row>
    <row r="35" spans="1:18" ht="16.5" customHeight="1" thickTop="1" thickBot="1" x14ac:dyDescent="0.25">
      <c r="A35" s="22"/>
      <c r="B35" s="23">
        <v>120700</v>
      </c>
      <c r="C35" s="24" t="s">
        <v>118</v>
      </c>
      <c r="D35" s="23" t="s">
        <v>10</v>
      </c>
      <c r="E35" s="23">
        <f>COUNTIF(S95:S119,700)+COUNTIF(T95:T119,700)+COUNTIF(U95:U119,700)</f>
        <v>0</v>
      </c>
      <c r="F35" s="342">
        <v>79</v>
      </c>
      <c r="G35" s="153">
        <f t="shared" si="2"/>
        <v>0</v>
      </c>
      <c r="H35" s="48">
        <f t="shared" si="3"/>
        <v>0</v>
      </c>
      <c r="R35" s="355">
        <f>E35*700</f>
        <v>0</v>
      </c>
    </row>
    <row r="36" spans="1:18" ht="16.5" customHeight="1" thickTop="1" thickBot="1" x14ac:dyDescent="0.25">
      <c r="A36" s="22"/>
      <c r="B36" s="23">
        <v>121000</v>
      </c>
      <c r="C36" s="24" t="s">
        <v>119</v>
      </c>
      <c r="D36" s="23" t="s">
        <v>10</v>
      </c>
      <c r="E36" s="23">
        <f>COUNTIF(S95:S119,1000)+COUNTIF(T95:T119,1000)+COUNTIF(U95:U119,1000)</f>
        <v>0</v>
      </c>
      <c r="F36" s="342">
        <v>112</v>
      </c>
      <c r="G36" s="153">
        <f t="shared" si="2"/>
        <v>0</v>
      </c>
      <c r="H36" s="48">
        <f t="shared" si="3"/>
        <v>0</v>
      </c>
      <c r="R36" s="355">
        <f>E36*1000</f>
        <v>0</v>
      </c>
    </row>
    <row r="37" spans="1:18" ht="16.5" customHeight="1" thickTop="1" thickBot="1" x14ac:dyDescent="0.25">
      <c r="A37" s="22"/>
      <c r="B37" s="23">
        <v>121250</v>
      </c>
      <c r="C37" s="24" t="s">
        <v>120</v>
      </c>
      <c r="D37" s="23" t="s">
        <v>10</v>
      </c>
      <c r="E37" s="23">
        <f>COUNTIF(S95:S119,1250)+COUNTIF(T95:T119,1250)+COUNTIF(U95:U119,1250)</f>
        <v>0</v>
      </c>
      <c r="F37" s="342">
        <v>141</v>
      </c>
      <c r="G37" s="153">
        <f t="shared" si="2"/>
        <v>0</v>
      </c>
      <c r="H37" s="48">
        <f t="shared" si="3"/>
        <v>0</v>
      </c>
      <c r="R37" s="355">
        <f>E37*1250</f>
        <v>0</v>
      </c>
    </row>
    <row r="38" spans="1:18" ht="16.5" customHeight="1" thickTop="1" thickBot="1" x14ac:dyDescent="0.25">
      <c r="A38" s="22"/>
      <c r="B38" s="23">
        <v>121501</v>
      </c>
      <c r="C38" s="24" t="s">
        <v>25</v>
      </c>
      <c r="D38" s="23" t="s">
        <v>10</v>
      </c>
      <c r="E38" s="23">
        <f>COUNTIF(S95:S119,1500)+COUNTIF(T95:T119,1500)+COUNTIF(U95:U119,1500)</f>
        <v>0</v>
      </c>
      <c r="F38" s="342">
        <v>176</v>
      </c>
      <c r="G38" s="153">
        <f t="shared" si="2"/>
        <v>0</v>
      </c>
      <c r="H38" s="48">
        <f t="shared" si="3"/>
        <v>0</v>
      </c>
      <c r="R38" s="355">
        <f>E38*1500</f>
        <v>0</v>
      </c>
    </row>
    <row r="39" spans="1:18" ht="16.5" customHeight="1" thickTop="1" thickBot="1" x14ac:dyDescent="0.25">
      <c r="A39" s="22"/>
      <c r="B39" s="23">
        <v>121700</v>
      </c>
      <c r="C39" s="24" t="s">
        <v>121</v>
      </c>
      <c r="D39" s="23" t="s">
        <v>10</v>
      </c>
      <c r="E39" s="23">
        <f>COUNTIF(S95:S119,1700)+COUNTIF(T95:T119,1700)+COUNTIF(U95:U119,1700)</f>
        <v>0</v>
      </c>
      <c r="F39" s="342">
        <v>187</v>
      </c>
      <c r="G39" s="153">
        <f t="shared" si="2"/>
        <v>0</v>
      </c>
      <c r="H39" s="48">
        <f t="shared" si="3"/>
        <v>0</v>
      </c>
      <c r="R39" s="355">
        <f>E39*1700</f>
        <v>0</v>
      </c>
    </row>
    <row r="40" spans="1:18" ht="16.5" customHeight="1" thickTop="1" thickBot="1" x14ac:dyDescent="0.25">
      <c r="A40" s="22"/>
      <c r="B40" s="23">
        <v>122100</v>
      </c>
      <c r="C40" s="24" t="s">
        <v>122</v>
      </c>
      <c r="D40" s="23" t="s">
        <v>10</v>
      </c>
      <c r="E40" s="23">
        <f>COUNTIF(S95:S119,2100)+COUNTIF(T95:T119,2100)+COUNTIF(U95:U119,2100)</f>
        <v>0</v>
      </c>
      <c r="F40" s="342">
        <v>233</v>
      </c>
      <c r="G40" s="153">
        <f t="shared" si="2"/>
        <v>0</v>
      </c>
      <c r="H40" s="48">
        <f t="shared" si="3"/>
        <v>0</v>
      </c>
      <c r="R40" s="355">
        <f>E40*2100</f>
        <v>0</v>
      </c>
    </row>
    <row r="41" spans="1:18" ht="16.5" customHeight="1" thickTop="1" thickBot="1" x14ac:dyDescent="0.25">
      <c r="A41" s="22"/>
      <c r="B41" s="23">
        <v>122600</v>
      </c>
      <c r="C41" s="24" t="s">
        <v>123</v>
      </c>
      <c r="D41" s="23" t="s">
        <v>10</v>
      </c>
      <c r="E41" s="23">
        <f>COUNTIF(S95:S119,2600)+COUNTIF(T95:T119,2600)+COUNTIF(U95:U119,2600)</f>
        <v>0</v>
      </c>
      <c r="F41" s="342">
        <v>280</v>
      </c>
      <c r="G41" s="153">
        <f t="shared" si="2"/>
        <v>0</v>
      </c>
      <c r="H41" s="48">
        <f t="shared" si="3"/>
        <v>0</v>
      </c>
      <c r="R41" s="355">
        <f>E41*2600</f>
        <v>0</v>
      </c>
    </row>
    <row r="42" spans="1:18" ht="16.5" customHeight="1" thickTop="1" thickBot="1" x14ac:dyDescent="0.25">
      <c r="A42" s="22"/>
      <c r="B42" s="23">
        <v>122900</v>
      </c>
      <c r="C42" s="24" t="s">
        <v>124</v>
      </c>
      <c r="D42" s="23" t="s">
        <v>10</v>
      </c>
      <c r="E42" s="23">
        <f>COUNTIF(S95:S119,2900)+COUNTIF(T95:T119,2900)+COUNTIF(U95:U119,2900)</f>
        <v>0</v>
      </c>
      <c r="F42" s="342">
        <v>310</v>
      </c>
      <c r="G42" s="153">
        <f t="shared" si="2"/>
        <v>0</v>
      </c>
      <c r="H42" s="48">
        <f t="shared" si="3"/>
        <v>0</v>
      </c>
      <c r="R42" s="355">
        <f>E42*2900</f>
        <v>0</v>
      </c>
    </row>
    <row r="43" spans="1:18" ht="16.5" customHeight="1" thickTop="1" thickBot="1" x14ac:dyDescent="0.25">
      <c r="A43" s="22"/>
      <c r="B43" s="23">
        <v>123200</v>
      </c>
      <c r="C43" s="24" t="s">
        <v>27</v>
      </c>
      <c r="D43" s="23" t="s">
        <v>10</v>
      </c>
      <c r="E43" s="23">
        <f>COUNTIF(S95:S119,3300)+COUNTIF(T95:T119,3300)+COUNTIF(U95:U119,3300)</f>
        <v>0</v>
      </c>
      <c r="F43" s="342">
        <v>355</v>
      </c>
      <c r="G43" s="153">
        <f t="shared" si="2"/>
        <v>0</v>
      </c>
      <c r="H43" s="48">
        <f t="shared" si="3"/>
        <v>0</v>
      </c>
      <c r="R43" s="355">
        <f>E43*3300</f>
        <v>0</v>
      </c>
    </row>
    <row r="44" spans="1:18" ht="20.100000000000001" customHeight="1" thickTop="1" thickBot="1" x14ac:dyDescent="0.25">
      <c r="A44" s="401" t="s">
        <v>144</v>
      </c>
      <c r="B44" s="402"/>
      <c r="C44" s="402"/>
      <c r="D44" s="402"/>
      <c r="E44" s="307"/>
      <c r="F44" s="341"/>
      <c r="G44" s="298"/>
      <c r="H44" s="48">
        <f>SUM(H45:H54)</f>
        <v>0</v>
      </c>
      <c r="R44" s="356"/>
    </row>
    <row r="45" spans="1:18" ht="16.5" customHeight="1" thickTop="1" thickBot="1" x14ac:dyDescent="0.25">
      <c r="A45" s="22"/>
      <c r="B45" s="80">
        <v>120107</v>
      </c>
      <c r="C45" s="81" t="s">
        <v>89</v>
      </c>
      <c r="D45" s="23" t="s">
        <v>10</v>
      </c>
      <c r="E45" s="23">
        <f>COUNTIF(N95:N119,100)+COUNTIF(O95:O119,100)+COUNTIF(P95:P119,100)</f>
        <v>0</v>
      </c>
      <c r="F45" s="342">
        <v>34</v>
      </c>
      <c r="G45" s="153">
        <f t="shared" ref="G45:G54" si="4">E45*F45</f>
        <v>0</v>
      </c>
      <c r="H45" s="48">
        <f t="shared" ref="H45:H54" si="5">E45</f>
        <v>0</v>
      </c>
      <c r="R45" s="355">
        <f>E45*100</f>
        <v>0</v>
      </c>
    </row>
    <row r="46" spans="1:18" ht="16.5" customHeight="1" thickTop="1" thickBot="1" x14ac:dyDescent="0.25">
      <c r="A46" s="76"/>
      <c r="B46" s="80">
        <v>120207</v>
      </c>
      <c r="C46" s="81" t="s">
        <v>90</v>
      </c>
      <c r="D46" s="23" t="s">
        <v>10</v>
      </c>
      <c r="E46" s="77">
        <f>COUNTIF(N95:N119,200)+COUNTIF(O95:O119,200)+COUNTIF(P95:P119,200)</f>
        <v>0</v>
      </c>
      <c r="F46" s="342">
        <v>48</v>
      </c>
      <c r="G46" s="154">
        <f t="shared" si="4"/>
        <v>0</v>
      </c>
      <c r="H46" s="48">
        <f t="shared" si="5"/>
        <v>0</v>
      </c>
      <c r="R46" s="355">
        <f>E46*200</f>
        <v>0</v>
      </c>
    </row>
    <row r="47" spans="1:18" ht="16.5" customHeight="1" thickTop="1" thickBot="1" x14ac:dyDescent="0.25">
      <c r="A47" s="76"/>
      <c r="B47" s="80">
        <v>120307</v>
      </c>
      <c r="C47" s="81" t="s">
        <v>91</v>
      </c>
      <c r="D47" s="23" t="s">
        <v>10</v>
      </c>
      <c r="E47" s="77">
        <f>COUNTIF(N95:N119,300)+COUNTIF(O95:O119,300)+COUNTIF(P95:P119,300)</f>
        <v>0</v>
      </c>
      <c r="F47" s="342">
        <v>64</v>
      </c>
      <c r="G47" s="154">
        <f t="shared" si="4"/>
        <v>0</v>
      </c>
      <c r="H47" s="48">
        <f t="shared" si="5"/>
        <v>0</v>
      </c>
      <c r="R47" s="355">
        <f>E47*300</f>
        <v>0</v>
      </c>
    </row>
    <row r="48" spans="1:18" ht="16.5" customHeight="1" thickTop="1" thickBot="1" x14ac:dyDescent="0.25">
      <c r="A48" s="76"/>
      <c r="B48" s="80">
        <v>120407</v>
      </c>
      <c r="C48" s="81" t="s">
        <v>134</v>
      </c>
      <c r="D48" s="23" t="s">
        <v>10</v>
      </c>
      <c r="E48" s="77">
        <f>COUNTIF(N95:N119,400)+COUNTIF(O95:O119,400)+COUNTIF(P95:P119,400)</f>
        <v>0</v>
      </c>
      <c r="F48" s="342">
        <v>79</v>
      </c>
      <c r="G48" s="154">
        <f t="shared" si="4"/>
        <v>0</v>
      </c>
      <c r="H48" s="48">
        <f t="shared" si="5"/>
        <v>0</v>
      </c>
      <c r="R48" s="355">
        <f>E48*400</f>
        <v>0</v>
      </c>
    </row>
    <row r="49" spans="1:21" ht="16.5" customHeight="1" thickTop="1" thickBot="1" x14ac:dyDescent="0.25">
      <c r="A49" s="76"/>
      <c r="B49" s="80">
        <v>120607</v>
      </c>
      <c r="C49" s="81" t="s">
        <v>92</v>
      </c>
      <c r="D49" s="23" t="s">
        <v>10</v>
      </c>
      <c r="E49" s="77">
        <f>COUNTIF(N95:N119,600)+COUNTIF(O95:O119,600)+COUNTIF(P95:P119,600)</f>
        <v>0</v>
      </c>
      <c r="F49" s="342">
        <v>114</v>
      </c>
      <c r="G49" s="154">
        <f t="shared" si="4"/>
        <v>0</v>
      </c>
      <c r="H49" s="48">
        <f t="shared" si="5"/>
        <v>0</v>
      </c>
      <c r="R49" s="355">
        <f>E49*600</f>
        <v>0</v>
      </c>
    </row>
    <row r="50" spans="1:21" customFormat="1" ht="16.5" customHeight="1" thickTop="1" thickBot="1" x14ac:dyDescent="0.35">
      <c r="A50" s="76"/>
      <c r="B50" s="80">
        <v>120807</v>
      </c>
      <c r="C50" s="81" t="s">
        <v>93</v>
      </c>
      <c r="D50" s="23" t="s">
        <v>10</v>
      </c>
      <c r="E50" s="77">
        <f>COUNTIF(N95:N119,800)+COUNTIF(O95:O119,800)+COUNTIF(P95:P119,800)</f>
        <v>0</v>
      </c>
      <c r="F50" s="342">
        <v>149</v>
      </c>
      <c r="G50" s="154">
        <f t="shared" si="4"/>
        <v>0</v>
      </c>
      <c r="H50" s="48">
        <f t="shared" si="5"/>
        <v>0</v>
      </c>
      <c r="I50" s="6"/>
      <c r="J50" s="6"/>
      <c r="K50" s="6"/>
      <c r="L50" s="6"/>
      <c r="M50" s="6"/>
      <c r="N50" s="6"/>
      <c r="O50" s="6"/>
      <c r="P50" s="6"/>
      <c r="Q50" s="6"/>
      <c r="R50" s="355">
        <f>E50*800</f>
        <v>0</v>
      </c>
      <c r="S50" s="6"/>
      <c r="T50" s="6"/>
      <c r="U50" s="6"/>
    </row>
    <row r="51" spans="1:21" customFormat="1" ht="16.5" customHeight="1" thickTop="1" thickBot="1" x14ac:dyDescent="0.35">
      <c r="A51" s="76"/>
      <c r="B51" s="80">
        <v>121007</v>
      </c>
      <c r="C51" s="81" t="s">
        <v>94</v>
      </c>
      <c r="D51" s="23" t="s">
        <v>10</v>
      </c>
      <c r="E51" s="77">
        <f>COUNTIF(N95:N119,1000)+COUNTIF(O95:O119,1000)+COUNTIF(P95:P119,1000)</f>
        <v>0</v>
      </c>
      <c r="F51" s="342">
        <v>181</v>
      </c>
      <c r="G51" s="154">
        <f t="shared" si="4"/>
        <v>0</v>
      </c>
      <c r="H51" s="48">
        <f t="shared" si="5"/>
        <v>0</v>
      </c>
      <c r="I51" s="6"/>
      <c r="J51" s="6"/>
      <c r="K51" s="6"/>
      <c r="L51" s="6"/>
      <c r="M51" s="6"/>
      <c r="N51" s="6"/>
      <c r="O51" s="6"/>
      <c r="P51" s="6"/>
      <c r="Q51" s="6"/>
      <c r="R51" s="355">
        <f>E50*1000</f>
        <v>0</v>
      </c>
      <c r="S51" s="6"/>
      <c r="T51" s="6"/>
      <c r="U51" s="6"/>
    </row>
    <row r="52" spans="1:21" ht="16.5" customHeight="1" thickTop="1" thickBot="1" x14ac:dyDescent="0.25">
      <c r="A52" s="76"/>
      <c r="B52" s="80">
        <v>121207</v>
      </c>
      <c r="C52" s="81" t="s">
        <v>95</v>
      </c>
      <c r="D52" s="23" t="s">
        <v>10</v>
      </c>
      <c r="E52" s="77">
        <f>COUNTIF(N95:N119,1200)+COUNTIF(O95:O119,1200)+COUNTIF(P95:P119,1200)</f>
        <v>0</v>
      </c>
      <c r="F52" s="342">
        <v>233</v>
      </c>
      <c r="G52" s="154">
        <f t="shared" si="4"/>
        <v>0</v>
      </c>
      <c r="H52" s="48">
        <f t="shared" si="5"/>
        <v>0</v>
      </c>
      <c r="R52" s="355">
        <f>E51*1200</f>
        <v>0</v>
      </c>
    </row>
    <row r="53" spans="1:21" ht="16.5" customHeight="1" thickTop="1" thickBot="1" x14ac:dyDescent="0.25">
      <c r="A53" s="76"/>
      <c r="B53" s="301">
        <v>121507</v>
      </c>
      <c r="C53" s="302" t="s">
        <v>96</v>
      </c>
      <c r="D53" s="77" t="s">
        <v>10</v>
      </c>
      <c r="E53" s="77">
        <f>COUNTIF(N95:N119,1500)+COUNTIF(O95:O119,1500)+COUNTIF(P95:P119,1500)</f>
        <v>0</v>
      </c>
      <c r="F53" s="344">
        <v>277</v>
      </c>
      <c r="G53" s="154">
        <f t="shared" si="4"/>
        <v>0</v>
      </c>
      <c r="H53" s="48">
        <f t="shared" si="5"/>
        <v>0</v>
      </c>
      <c r="R53" s="355">
        <f>E52*1500</f>
        <v>0</v>
      </c>
    </row>
    <row r="54" spans="1:21" ht="16.5" customHeight="1" thickTop="1" thickBot="1" x14ac:dyDescent="0.25">
      <c r="A54" s="22"/>
      <c r="B54" s="80">
        <v>121907</v>
      </c>
      <c r="C54" s="81" t="s">
        <v>97</v>
      </c>
      <c r="D54" s="23" t="s">
        <v>10</v>
      </c>
      <c r="E54" s="23">
        <f>COUNTIF(N95:N119,1900)+COUNTIF(O95:O119,1900)+COUNTIF(P95:P119,1900)</f>
        <v>0</v>
      </c>
      <c r="F54" s="342">
        <v>339</v>
      </c>
      <c r="G54" s="153">
        <f t="shared" si="4"/>
        <v>0</v>
      </c>
      <c r="H54" s="48">
        <f t="shared" si="5"/>
        <v>0</v>
      </c>
      <c r="R54" s="355">
        <f>E53*1900</f>
        <v>0</v>
      </c>
    </row>
    <row r="55" spans="1:21" ht="18" customHeight="1" thickTop="1" thickBot="1" x14ac:dyDescent="0.25">
      <c r="A55" s="403" t="s">
        <v>137</v>
      </c>
      <c r="B55" s="402"/>
      <c r="C55" s="402"/>
      <c r="D55" s="402"/>
      <c r="E55" s="162"/>
      <c r="F55" s="345"/>
      <c r="G55" s="16"/>
      <c r="H55" s="48">
        <f>SUM(H56:H68)</f>
        <v>0</v>
      </c>
      <c r="R55" s="355">
        <f>SUM(R22:R54)</f>
        <v>0</v>
      </c>
    </row>
    <row r="56" spans="1:21" ht="27" customHeight="1" thickTop="1" thickBot="1" x14ac:dyDescent="0.25">
      <c r="A56" s="22"/>
      <c r="B56" s="22">
        <v>825100</v>
      </c>
      <c r="C56" s="25" t="s">
        <v>324</v>
      </c>
      <c r="D56" s="22" t="s">
        <v>10</v>
      </c>
      <c r="E56" s="22">
        <f>Y120</f>
        <v>0</v>
      </c>
      <c r="F56" s="346">
        <v>102</v>
      </c>
      <c r="G56" s="88">
        <f t="shared" ref="G56:G60" si="6">E56*F56</f>
        <v>0</v>
      </c>
      <c r="H56" s="48">
        <f t="shared" ref="H56:H68" si="7">E56</f>
        <v>0</v>
      </c>
      <c r="R56" s="339"/>
    </row>
    <row r="57" spans="1:21" ht="26.25" customHeight="1" thickTop="1" thickBot="1" x14ac:dyDescent="0.25">
      <c r="A57" s="299"/>
      <c r="B57" s="299">
        <v>825880</v>
      </c>
      <c r="C57" s="303" t="s">
        <v>325</v>
      </c>
      <c r="D57" s="299" t="s">
        <v>10</v>
      </c>
      <c r="E57" s="306">
        <f>Y120</f>
        <v>0</v>
      </c>
      <c r="F57" s="347">
        <v>92</v>
      </c>
      <c r="G57" s="304">
        <f t="shared" si="6"/>
        <v>0</v>
      </c>
      <c r="H57" s="48">
        <f t="shared" si="7"/>
        <v>0</v>
      </c>
      <c r="R57" s="190"/>
    </row>
    <row r="58" spans="1:21" ht="28.5" customHeight="1" thickTop="1" thickBot="1" x14ac:dyDescent="0.25">
      <c r="A58" s="22"/>
      <c r="B58" s="22">
        <v>825870</v>
      </c>
      <c r="C58" s="25" t="s">
        <v>326</v>
      </c>
      <c r="D58" s="22" t="s">
        <v>10</v>
      </c>
      <c r="E58" s="30">
        <f>Y120</f>
        <v>0</v>
      </c>
      <c r="F58" s="346">
        <v>84</v>
      </c>
      <c r="G58" s="88">
        <f t="shared" si="6"/>
        <v>0</v>
      </c>
      <c r="H58" s="48">
        <f t="shared" si="7"/>
        <v>0</v>
      </c>
      <c r="R58" s="190"/>
    </row>
    <row r="59" spans="1:21" ht="28.5" customHeight="1" thickTop="1" thickBot="1" x14ac:dyDescent="0.25">
      <c r="A59" s="22"/>
      <c r="B59" s="26">
        <v>825840</v>
      </c>
      <c r="C59" s="29" t="s">
        <v>327</v>
      </c>
      <c r="D59" s="30" t="s">
        <v>10</v>
      </c>
      <c r="E59" s="30">
        <f>Y120</f>
        <v>0</v>
      </c>
      <c r="F59" s="348">
        <v>45</v>
      </c>
      <c r="G59" s="88">
        <f t="shared" si="6"/>
        <v>0</v>
      </c>
      <c r="H59" s="48">
        <f t="shared" si="7"/>
        <v>0</v>
      </c>
      <c r="R59" s="190"/>
    </row>
    <row r="60" spans="1:21" ht="29.25" customHeight="1" thickTop="1" thickBot="1" x14ac:dyDescent="0.25">
      <c r="A60" s="22"/>
      <c r="B60" s="26">
        <v>827000</v>
      </c>
      <c r="C60" s="27" t="s">
        <v>365</v>
      </c>
      <c r="D60" s="28" t="s">
        <v>10</v>
      </c>
      <c r="E60" s="30">
        <f>Y120</f>
        <v>0</v>
      </c>
      <c r="F60" s="348">
        <v>25</v>
      </c>
      <c r="G60" s="88">
        <f t="shared" si="6"/>
        <v>0</v>
      </c>
      <c r="H60" s="48">
        <f t="shared" si="7"/>
        <v>0</v>
      </c>
    </row>
    <row r="61" spans="1:21" ht="27.75" customHeight="1" thickTop="1" thickBot="1" x14ac:dyDescent="0.25">
      <c r="A61" s="22"/>
      <c r="B61" s="26">
        <v>838101</v>
      </c>
      <c r="C61" s="29" t="s">
        <v>59</v>
      </c>
      <c r="D61" s="30" t="s">
        <v>10</v>
      </c>
      <c r="E61" s="30">
        <f>Y120</f>
        <v>0</v>
      </c>
      <c r="F61" s="348">
        <v>26</v>
      </c>
      <c r="G61" s="88">
        <f t="shared" ref="G61:G68" si="8">E61*F61</f>
        <v>0</v>
      </c>
      <c r="H61" s="48">
        <f t="shared" si="7"/>
        <v>0</v>
      </c>
    </row>
    <row r="62" spans="1:21" ht="16.5" customHeight="1" thickTop="1" thickBot="1" x14ac:dyDescent="0.25">
      <c r="A62" s="22"/>
      <c r="B62" s="26">
        <v>860199</v>
      </c>
      <c r="C62" s="29" t="s">
        <v>328</v>
      </c>
      <c r="D62" s="30" t="s">
        <v>10</v>
      </c>
      <c r="E62" s="30">
        <f>Y120</f>
        <v>0</v>
      </c>
      <c r="F62" s="348">
        <v>13</v>
      </c>
      <c r="G62" s="154">
        <f t="shared" si="8"/>
        <v>0</v>
      </c>
      <c r="H62" s="48">
        <f t="shared" si="7"/>
        <v>0</v>
      </c>
    </row>
    <row r="63" spans="1:21" ht="16.5" customHeight="1" thickTop="1" thickBot="1" x14ac:dyDescent="0.25">
      <c r="A63" s="107"/>
      <c r="B63" s="107">
        <v>92252</v>
      </c>
      <c r="C63" s="25" t="s">
        <v>135</v>
      </c>
      <c r="D63" s="108" t="s">
        <v>28</v>
      </c>
      <c r="E63" s="107">
        <f>(ROUNDUP(K120*1.1/24,0))</f>
        <v>0</v>
      </c>
      <c r="F63" s="349">
        <v>71</v>
      </c>
      <c r="G63" s="88">
        <f t="shared" si="8"/>
        <v>0</v>
      </c>
      <c r="H63" s="48">
        <f t="shared" si="7"/>
        <v>0</v>
      </c>
    </row>
    <row r="64" spans="1:21" ht="16.5" customHeight="1" thickTop="1" thickBot="1" x14ac:dyDescent="0.25">
      <c r="A64" s="107"/>
      <c r="B64" s="107" t="s">
        <v>318</v>
      </c>
      <c r="C64" s="25" t="s">
        <v>319</v>
      </c>
      <c r="D64" s="108" t="s">
        <v>28</v>
      </c>
      <c r="E64" s="107">
        <f>(ROUNDUP(K120*1.1/30,0))</f>
        <v>0</v>
      </c>
      <c r="F64" s="349">
        <v>50</v>
      </c>
      <c r="G64" s="88">
        <f t="shared" si="8"/>
        <v>0</v>
      </c>
      <c r="H64" s="48">
        <f t="shared" si="7"/>
        <v>0</v>
      </c>
    </row>
    <row r="65" spans="1:18" ht="16.5" customHeight="1" thickTop="1" thickBot="1" x14ac:dyDescent="0.25">
      <c r="A65" s="107"/>
      <c r="B65" s="107" t="s">
        <v>374</v>
      </c>
      <c r="C65" s="25" t="s">
        <v>375</v>
      </c>
      <c r="D65" s="108" t="s">
        <v>28</v>
      </c>
      <c r="E65" s="107">
        <f>IF(K120&lt;60, 0, IF(K120&lt;68.18, 1, IF(AND(K120&gt;=1110, K120&lt;=136), 2, 0)))</f>
        <v>0</v>
      </c>
      <c r="F65" s="349">
        <v>119</v>
      </c>
      <c r="G65" s="88">
        <f t="shared" ref="G65" si="9">E65*F65</f>
        <v>0</v>
      </c>
      <c r="H65" s="48">
        <f t="shared" ref="H65" si="10">E65</f>
        <v>0</v>
      </c>
    </row>
    <row r="66" spans="1:18" ht="16.5" customHeight="1" thickTop="1" thickBot="1" x14ac:dyDescent="0.25">
      <c r="A66" s="107"/>
      <c r="B66" s="107" t="s">
        <v>320</v>
      </c>
      <c r="C66" s="25" t="s">
        <v>133</v>
      </c>
      <c r="D66" s="108" t="s">
        <v>28</v>
      </c>
      <c r="E66" s="107">
        <f>(ROUNDUP(K120*1.15/25,0))</f>
        <v>0</v>
      </c>
      <c r="F66" s="349">
        <v>11</v>
      </c>
      <c r="G66" s="88">
        <f t="shared" si="8"/>
        <v>0</v>
      </c>
      <c r="H66" s="48">
        <f t="shared" si="7"/>
        <v>0</v>
      </c>
      <c r="I66" s="56"/>
    </row>
    <row r="67" spans="1:18" ht="16.5" customHeight="1" thickTop="1" thickBot="1" x14ac:dyDescent="0.25">
      <c r="A67" s="107"/>
      <c r="B67" s="107" t="s">
        <v>384</v>
      </c>
      <c r="C67" s="25" t="s">
        <v>385</v>
      </c>
      <c r="D67" s="108" t="s">
        <v>28</v>
      </c>
      <c r="E67" s="107">
        <f>(ROUNDUP(K120*1.15/25,0))</f>
        <v>0</v>
      </c>
      <c r="F67" s="349">
        <v>6</v>
      </c>
      <c r="G67" s="88">
        <f t="shared" ref="G67" si="11">E67*F67</f>
        <v>0</v>
      </c>
      <c r="H67" s="48">
        <f t="shared" ref="H67" si="12">E67</f>
        <v>0</v>
      </c>
      <c r="I67" s="56"/>
    </row>
    <row r="68" spans="1:18" ht="16.5" customHeight="1" thickTop="1" thickBot="1" x14ac:dyDescent="0.25">
      <c r="A68" s="31"/>
      <c r="B68" s="60">
        <v>720310</v>
      </c>
      <c r="C68" s="61" t="s">
        <v>72</v>
      </c>
      <c r="D68" s="60" t="s">
        <v>28</v>
      </c>
      <c r="E68" s="109">
        <f>(ROUNDUP(K120*1.6/10,0))</f>
        <v>0</v>
      </c>
      <c r="F68" s="348">
        <v>17</v>
      </c>
      <c r="G68" s="88">
        <f t="shared" si="8"/>
        <v>0</v>
      </c>
      <c r="H68" s="48">
        <f t="shared" si="7"/>
        <v>0</v>
      </c>
    </row>
    <row r="69" spans="1:18" ht="16.5" customHeight="1" thickTop="1" thickBot="1" x14ac:dyDescent="0.25">
      <c r="A69" s="31"/>
      <c r="B69" s="60">
        <v>720200</v>
      </c>
      <c r="C69" s="61" t="s">
        <v>386</v>
      </c>
      <c r="D69" s="60" t="s">
        <v>28</v>
      </c>
      <c r="E69" s="109">
        <v>0</v>
      </c>
      <c r="F69" s="348">
        <v>5</v>
      </c>
      <c r="G69" s="88">
        <f t="shared" ref="G69" si="13">E69*F69</f>
        <v>0</v>
      </c>
      <c r="H69" s="48">
        <f t="shared" ref="H69" si="14">E69</f>
        <v>0</v>
      </c>
    </row>
    <row r="70" spans="1:18" s="105" customFormat="1" ht="16.5" customHeight="1" thickTop="1" thickBot="1" x14ac:dyDescent="0.25">
      <c r="A70" s="390" t="s">
        <v>16</v>
      </c>
      <c r="B70" s="391"/>
      <c r="C70" s="391"/>
      <c r="D70" s="391"/>
      <c r="E70" s="391"/>
      <c r="F70" s="392"/>
      <c r="G70" s="88">
        <f>SUM(G22:G69)</f>
        <v>0</v>
      </c>
      <c r="H70" s="56"/>
      <c r="R70" s="6"/>
    </row>
    <row r="71" spans="1:18" ht="16.5" customHeight="1" thickTop="1" thickBot="1" x14ac:dyDescent="0.25">
      <c r="A71" s="67">
        <v>0.05</v>
      </c>
      <c r="B71" s="391" t="s">
        <v>67</v>
      </c>
      <c r="C71" s="393"/>
      <c r="D71" s="393"/>
      <c r="E71" s="393"/>
      <c r="F71" s="393"/>
      <c r="G71" s="89">
        <f>G70*(1-A71)</f>
        <v>0</v>
      </c>
      <c r="H71" s="56"/>
      <c r="R71" s="105"/>
    </row>
    <row r="72" spans="1:18" ht="16.5" customHeight="1" thickTop="1" thickBot="1" x14ac:dyDescent="0.25">
      <c r="A72" s="14" t="s">
        <v>17</v>
      </c>
      <c r="B72" s="17"/>
      <c r="C72" s="17"/>
      <c r="D72" s="17"/>
      <c r="E72" s="17"/>
      <c r="F72" s="17"/>
      <c r="G72" s="89">
        <f>G71*1.21</f>
        <v>0</v>
      </c>
      <c r="H72" s="56"/>
    </row>
    <row r="73" spans="1:18" ht="18.75" customHeight="1" thickTop="1" x14ac:dyDescent="0.2">
      <c r="A73" s="2"/>
      <c r="B73" s="105"/>
      <c r="C73" s="105"/>
      <c r="D73" s="105"/>
      <c r="E73" s="105"/>
      <c r="F73" s="105"/>
      <c r="G73" s="51"/>
      <c r="H73" s="56"/>
    </row>
    <row r="74" spans="1:18" ht="14.4" x14ac:dyDescent="0.2">
      <c r="A74" s="400" t="s">
        <v>182</v>
      </c>
      <c r="B74" s="400"/>
      <c r="C74" s="400"/>
      <c r="D74" s="105"/>
      <c r="E74" s="105"/>
      <c r="F74" s="105"/>
      <c r="G74" s="51"/>
      <c r="H74" s="56"/>
    </row>
    <row r="75" spans="1:18" ht="14.4" x14ac:dyDescent="0.2">
      <c r="A75" s="287"/>
      <c r="B75" s="287"/>
      <c r="C75" s="287"/>
      <c r="D75" s="105"/>
      <c r="E75" s="105"/>
      <c r="F75" s="105"/>
      <c r="G75" s="51"/>
      <c r="H75" s="56"/>
    </row>
    <row r="76" spans="1:18" ht="11.25" customHeight="1" x14ac:dyDescent="0.2">
      <c r="A76" s="389" t="s">
        <v>18</v>
      </c>
      <c r="B76" s="389"/>
      <c r="C76" s="389"/>
      <c r="D76" s="389"/>
      <c r="E76" s="389"/>
      <c r="F76" s="389"/>
      <c r="G76" s="389"/>
    </row>
    <row r="77" spans="1:18" ht="27.75" customHeight="1" x14ac:dyDescent="0.2">
      <c r="A77" s="404" t="s">
        <v>61</v>
      </c>
      <c r="B77" s="404"/>
      <c r="C77" s="404"/>
      <c r="D77" s="404"/>
      <c r="E77" s="404"/>
      <c r="F77" s="404"/>
      <c r="G77" s="404"/>
    </row>
    <row r="78" spans="1:18" ht="17.25" customHeight="1" x14ac:dyDescent="0.2">
      <c r="A78" s="404" t="s">
        <v>337</v>
      </c>
      <c r="B78" s="404"/>
      <c r="C78" s="404"/>
      <c r="D78" s="404"/>
      <c r="E78" s="404"/>
      <c r="F78" s="404"/>
      <c r="G78" s="404"/>
    </row>
    <row r="79" spans="1:18" ht="16.5" customHeight="1" x14ac:dyDescent="0.2">
      <c r="A79" s="404" t="s">
        <v>359</v>
      </c>
      <c r="B79" s="404"/>
      <c r="C79" s="404"/>
      <c r="D79" s="404"/>
      <c r="E79" s="404"/>
      <c r="F79" s="404"/>
      <c r="G79" s="404"/>
    </row>
    <row r="80" spans="1:18" ht="22.5" customHeight="1" x14ac:dyDescent="0.3">
      <c r="A80" s="404" t="s">
        <v>360</v>
      </c>
      <c r="B80" s="404"/>
      <c r="C80" s="404"/>
      <c r="D80" s="123">
        <f>SUM(R22:R54)/1000</f>
        <v>0</v>
      </c>
      <c r="E80" s="49"/>
      <c r="F80" s="49"/>
      <c r="G80" s="49"/>
      <c r="I80" s="12"/>
    </row>
    <row r="81" spans="1:30" ht="10.050000000000001" customHeight="1" x14ac:dyDescent="0.2"/>
    <row r="82" spans="1:30" ht="15.9" customHeight="1" x14ac:dyDescent="0.2">
      <c r="A82" s="2" t="s">
        <v>19</v>
      </c>
      <c r="B82" s="4"/>
      <c r="C82" s="4"/>
      <c r="D82" s="4"/>
      <c r="E82" s="4"/>
      <c r="F82" s="4"/>
      <c r="G82" s="4"/>
      <c r="H82" s="105"/>
    </row>
    <row r="83" spans="1:30" ht="15.9" customHeight="1" x14ac:dyDescent="0.2">
      <c r="A83" s="389" t="s">
        <v>20</v>
      </c>
      <c r="B83" s="389"/>
      <c r="C83" s="389"/>
      <c r="D83" s="389"/>
      <c r="E83" s="389"/>
      <c r="F83" s="389"/>
      <c r="G83" s="389"/>
    </row>
    <row r="84" spans="1:30" ht="15.9" customHeight="1" x14ac:dyDescent="0.2">
      <c r="A84" s="389" t="s">
        <v>21</v>
      </c>
      <c r="B84" s="389"/>
      <c r="C84" s="389"/>
      <c r="D84" s="389"/>
      <c r="E84" s="389"/>
      <c r="F84" s="389"/>
      <c r="G84" s="389"/>
    </row>
    <row r="85" spans="1:30" ht="15.9" customHeight="1" x14ac:dyDescent="0.2">
      <c r="A85" s="389" t="s">
        <v>22</v>
      </c>
      <c r="B85" s="389"/>
      <c r="C85" s="389"/>
      <c r="D85" s="389"/>
      <c r="E85" s="389"/>
      <c r="F85" s="389"/>
      <c r="G85" s="389"/>
    </row>
    <row r="86" spans="1:30" ht="15.9" customHeight="1" x14ac:dyDescent="0.2"/>
    <row r="87" spans="1:30" ht="15.9" customHeight="1" x14ac:dyDescent="0.2">
      <c r="B87" s="1" t="s">
        <v>11</v>
      </c>
      <c r="C87" s="2"/>
    </row>
    <row r="88" spans="1:30" ht="15.9" customHeight="1" x14ac:dyDescent="0.2">
      <c r="B88" s="373"/>
      <c r="C88" s="374"/>
    </row>
    <row r="89" spans="1:30" ht="15.9" customHeight="1" x14ac:dyDescent="0.2">
      <c r="B89" s="373"/>
      <c r="C89" s="374"/>
    </row>
    <row r="90" spans="1:30" ht="15.9" customHeight="1" x14ac:dyDescent="0.2">
      <c r="B90" s="205"/>
    </row>
    <row r="91" spans="1:30" ht="15.9" customHeight="1" thickBot="1" x14ac:dyDescent="0.25">
      <c r="B91" s="205" t="s">
        <v>12</v>
      </c>
    </row>
    <row r="92" spans="1:30" ht="15.9" customHeight="1" thickTop="1" thickBot="1" x14ac:dyDescent="0.25">
      <c r="B92" s="205"/>
      <c r="I92" s="178"/>
      <c r="J92" s="178"/>
      <c r="K92" s="178"/>
      <c r="L92" s="377" t="s">
        <v>278</v>
      </c>
      <c r="M92" s="387"/>
      <c r="N92" s="387"/>
      <c r="O92" s="387"/>
      <c r="P92" s="388"/>
      <c r="Q92" s="377" t="s">
        <v>277</v>
      </c>
      <c r="R92" s="378"/>
      <c r="S92" s="378"/>
      <c r="T92" s="378"/>
      <c r="U92" s="378"/>
      <c r="V92" s="378"/>
      <c r="W92" s="378"/>
      <c r="X92" s="379"/>
      <c r="Y92" s="178"/>
      <c r="Z92" s="178"/>
      <c r="AA92" s="178"/>
    </row>
    <row r="93" spans="1:30" ht="15.9" customHeight="1" thickTop="1" thickBot="1" x14ac:dyDescent="0.25">
      <c r="B93" s="205"/>
      <c r="I93" s="178"/>
      <c r="J93" s="178"/>
      <c r="K93" s="178"/>
      <c r="L93" s="380" t="s">
        <v>271</v>
      </c>
      <c r="M93" s="381"/>
      <c r="N93" s="382"/>
      <c r="O93" s="382"/>
      <c r="P93" s="383"/>
      <c r="Q93" s="384" t="s">
        <v>323</v>
      </c>
      <c r="R93" s="385"/>
      <c r="S93" s="385"/>
      <c r="T93" s="385"/>
      <c r="U93" s="386"/>
      <c r="V93" s="375" t="s">
        <v>272</v>
      </c>
      <c r="W93" s="375"/>
      <c r="X93" s="376"/>
      <c r="Y93" s="178"/>
      <c r="Z93" s="178"/>
      <c r="AA93" s="178"/>
    </row>
    <row r="94" spans="1:30" ht="48" customHeight="1" thickTop="1" thickBot="1" x14ac:dyDescent="0.25">
      <c r="I94" s="249" t="s">
        <v>79</v>
      </c>
      <c r="J94" s="247" t="s">
        <v>71</v>
      </c>
      <c r="K94" s="247" t="s">
        <v>126</v>
      </c>
      <c r="L94" s="245" t="s">
        <v>281</v>
      </c>
      <c r="M94" s="245" t="s">
        <v>282</v>
      </c>
      <c r="N94" s="245" t="s">
        <v>273</v>
      </c>
      <c r="O94" s="245" t="s">
        <v>274</v>
      </c>
      <c r="P94" s="245" t="s">
        <v>275</v>
      </c>
      <c r="Q94" s="246" t="s">
        <v>279</v>
      </c>
      <c r="R94" s="246" t="s">
        <v>280</v>
      </c>
      <c r="S94" s="246" t="s">
        <v>284</v>
      </c>
      <c r="T94" s="246" t="s">
        <v>285</v>
      </c>
      <c r="U94" s="246" t="s">
        <v>286</v>
      </c>
      <c r="V94" s="274" t="s">
        <v>283</v>
      </c>
      <c r="W94" s="274" t="s">
        <v>287</v>
      </c>
      <c r="X94" s="274" t="s">
        <v>288</v>
      </c>
      <c r="Y94" s="244" t="s">
        <v>321</v>
      </c>
      <c r="Z94" s="245" t="s">
        <v>276</v>
      </c>
      <c r="AA94" s="246" t="s">
        <v>268</v>
      </c>
      <c r="AB94" s="274" t="s">
        <v>269</v>
      </c>
      <c r="AD94" s="6" t="s">
        <v>88</v>
      </c>
    </row>
    <row r="95" spans="1:30" ht="15.9" customHeight="1" thickTop="1" thickBot="1" x14ac:dyDescent="0.25">
      <c r="H95" s="372"/>
      <c r="I95" s="249"/>
      <c r="J95" s="250" t="s">
        <v>80</v>
      </c>
      <c r="K95" s="251"/>
      <c r="L95" s="311" t="str">
        <f>IF(ISNUMBER(K95),K95*80,"")</f>
        <v/>
      </c>
      <c r="M95" s="311" t="str">
        <f>IF(ISNUMBER(K95),K95*95,"")</f>
        <v/>
      </c>
      <c r="N95" s="252"/>
      <c r="O95" s="252"/>
      <c r="P95" s="252"/>
      <c r="Q95" s="311" t="str">
        <f t="shared" ref="Q95:Q119" si="15">IF(ISNUMBER(K95),K95*135,"")</f>
        <v/>
      </c>
      <c r="R95" s="311" t="str">
        <f t="shared" ref="R95:R119" si="16">IF(ISNUMBER(K95),K95*150,"")</f>
        <v/>
      </c>
      <c r="S95" s="253"/>
      <c r="T95" s="253"/>
      <c r="U95" s="253"/>
      <c r="V95" s="275"/>
      <c r="W95" s="275"/>
      <c r="X95" s="275"/>
      <c r="Y95" s="254" t="str">
        <f>IF(OR(ISNUMBER(S95),ISNUMBER(T95),ISNUMBER(U95),ISNUMBER(V95),ISNUMBER(W95),ISNUMBER(X95), ISNUMBER(N95),ISNUMBER(O95),ISNUMBER(P95)),1,"")</f>
        <v/>
      </c>
      <c r="Z95" s="125">
        <v>100</v>
      </c>
      <c r="AA95" s="316">
        <v>300</v>
      </c>
      <c r="AB95" s="317">
        <v>300</v>
      </c>
    </row>
    <row r="96" spans="1:30" ht="15.9" customHeight="1" thickTop="1" thickBot="1" x14ac:dyDescent="0.25">
      <c r="H96" s="372"/>
      <c r="I96" s="255"/>
      <c r="J96" s="250" t="s">
        <v>81</v>
      </c>
      <c r="K96" s="251"/>
      <c r="L96" s="311" t="str">
        <f t="shared" ref="L96:L119" si="17">IF(ISNUMBER(K96),K96*80,"")</f>
        <v/>
      </c>
      <c r="M96" s="311" t="str">
        <f t="shared" ref="M96:M119" si="18">IF(ISNUMBER(K96),K96*95,"")</f>
        <v/>
      </c>
      <c r="N96" s="245"/>
      <c r="O96" s="252"/>
      <c r="P96" s="245"/>
      <c r="Q96" s="311" t="str">
        <f t="shared" si="15"/>
        <v/>
      </c>
      <c r="R96" s="311" t="str">
        <f t="shared" si="16"/>
        <v/>
      </c>
      <c r="S96" s="246"/>
      <c r="T96" s="246"/>
      <c r="U96" s="246"/>
      <c r="V96" s="274"/>
      <c r="W96" s="274"/>
      <c r="X96" s="274"/>
      <c r="Y96" s="254" t="str">
        <f>IF(OR(ISNUMBER(S96),ISNUMBER(T96),ISNUMBER(U96),ISNUMBER(V96),ISNUMBER(W96),ISNUMBER(X96), ISNUMBER(N96),ISNUMBER(O96),ISNUMBER(P96)),1,"")</f>
        <v/>
      </c>
      <c r="Z96" s="125">
        <v>200</v>
      </c>
      <c r="AA96" s="316">
        <v>500</v>
      </c>
      <c r="AB96" s="317">
        <v>500</v>
      </c>
    </row>
    <row r="97" spans="8:28" ht="15.9" customHeight="1" thickTop="1" thickBot="1" x14ac:dyDescent="0.25">
      <c r="H97" s="372"/>
      <c r="I97" s="255"/>
      <c r="J97" s="250" t="s">
        <v>82</v>
      </c>
      <c r="K97" s="251"/>
      <c r="L97" s="311" t="str">
        <f t="shared" si="17"/>
        <v/>
      </c>
      <c r="M97" s="311" t="str">
        <f t="shared" si="18"/>
        <v/>
      </c>
      <c r="N97" s="245"/>
      <c r="O97" s="252"/>
      <c r="P97" s="245"/>
      <c r="Q97" s="311" t="str">
        <f t="shared" si="15"/>
        <v/>
      </c>
      <c r="R97" s="311" t="str">
        <f t="shared" si="16"/>
        <v/>
      </c>
      <c r="S97" s="246"/>
      <c r="T97" s="246"/>
      <c r="U97" s="246"/>
      <c r="V97" s="274"/>
      <c r="W97" s="274"/>
      <c r="X97" s="274"/>
      <c r="Y97" s="254" t="str">
        <f t="shared" ref="Y97:Y119" si="19">IF(OR(ISNUMBER(S97),ISNUMBER(T97),ISNUMBER(U97),ISNUMBER(V97),ISNUMBER(W97),ISNUMBER(X97), ISNUMBER(N97),ISNUMBER(O97),ISNUMBER(P97)),1,"")</f>
        <v/>
      </c>
      <c r="Z97" s="125">
        <v>300</v>
      </c>
      <c r="AA97" s="316">
        <v>700</v>
      </c>
      <c r="AB97" s="317">
        <v>1000</v>
      </c>
    </row>
    <row r="98" spans="8:28" ht="15.9" customHeight="1" thickTop="1" thickBot="1" x14ac:dyDescent="0.25">
      <c r="H98" s="372"/>
      <c r="I98" s="255"/>
      <c r="J98" s="250" t="s">
        <v>83</v>
      </c>
      <c r="K98" s="251"/>
      <c r="L98" s="311" t="str">
        <f t="shared" si="17"/>
        <v/>
      </c>
      <c r="M98" s="311" t="str">
        <f t="shared" si="18"/>
        <v/>
      </c>
      <c r="N98" s="245"/>
      <c r="O98" s="252"/>
      <c r="P98" s="245"/>
      <c r="Q98" s="311" t="str">
        <f t="shared" si="15"/>
        <v/>
      </c>
      <c r="R98" s="311" t="str">
        <f t="shared" si="16"/>
        <v/>
      </c>
      <c r="S98" s="246"/>
      <c r="T98" s="246"/>
      <c r="U98" s="246"/>
      <c r="V98" s="274"/>
      <c r="W98" s="274"/>
      <c r="X98" s="274"/>
      <c r="Y98" s="254" t="str">
        <f t="shared" si="19"/>
        <v/>
      </c>
      <c r="Z98" s="125">
        <v>400</v>
      </c>
      <c r="AA98" s="316">
        <v>1000</v>
      </c>
      <c r="AB98" s="317">
        <v>1200</v>
      </c>
    </row>
    <row r="99" spans="8:28" ht="15.9" customHeight="1" thickTop="1" thickBot="1" x14ac:dyDescent="0.25">
      <c r="H99" s="372"/>
      <c r="I99" s="255"/>
      <c r="J99" s="250" t="s">
        <v>80</v>
      </c>
      <c r="K99" s="251"/>
      <c r="L99" s="311" t="str">
        <f t="shared" si="17"/>
        <v/>
      </c>
      <c r="M99" s="311" t="str">
        <f t="shared" si="18"/>
        <v/>
      </c>
      <c r="N99" s="245"/>
      <c r="O99" s="252"/>
      <c r="P99" s="245"/>
      <c r="Q99" s="311" t="str">
        <f t="shared" si="15"/>
        <v/>
      </c>
      <c r="R99" s="311" t="str">
        <f t="shared" si="16"/>
        <v/>
      </c>
      <c r="S99" s="246"/>
      <c r="T99" s="246"/>
      <c r="U99" s="246"/>
      <c r="V99" s="274"/>
      <c r="W99" s="274"/>
      <c r="X99" s="274"/>
      <c r="Y99" s="254" t="str">
        <f t="shared" si="19"/>
        <v/>
      </c>
      <c r="Z99" s="125">
        <v>600</v>
      </c>
      <c r="AA99" s="316">
        <v>1250</v>
      </c>
      <c r="AB99" s="317">
        <v>1600</v>
      </c>
    </row>
    <row r="100" spans="8:28" ht="15.9" customHeight="1" thickTop="1" thickBot="1" x14ac:dyDescent="0.25">
      <c r="H100" s="372"/>
      <c r="I100" s="255"/>
      <c r="J100" s="256" t="s">
        <v>73</v>
      </c>
      <c r="K100" s="251"/>
      <c r="L100" s="311" t="str">
        <f t="shared" si="17"/>
        <v/>
      </c>
      <c r="M100" s="311" t="str">
        <f t="shared" si="18"/>
        <v/>
      </c>
      <c r="N100" s="245"/>
      <c r="O100" s="252"/>
      <c r="P100" s="245"/>
      <c r="Q100" s="311" t="str">
        <f t="shared" si="15"/>
        <v/>
      </c>
      <c r="R100" s="311" t="str">
        <f t="shared" si="16"/>
        <v/>
      </c>
      <c r="S100" s="246"/>
      <c r="T100" s="246"/>
      <c r="U100" s="246"/>
      <c r="V100" s="274"/>
      <c r="W100" s="274"/>
      <c r="X100" s="274"/>
      <c r="Y100" s="254" t="str">
        <f t="shared" si="19"/>
        <v/>
      </c>
      <c r="Z100" s="125">
        <v>800</v>
      </c>
      <c r="AA100" s="316">
        <v>1500</v>
      </c>
      <c r="AB100" s="317">
        <v>1800</v>
      </c>
    </row>
    <row r="101" spans="8:28" ht="15.9" customHeight="1" thickTop="1" thickBot="1" x14ac:dyDescent="0.25">
      <c r="H101" s="372"/>
      <c r="I101" s="255"/>
      <c r="J101" s="256" t="s">
        <v>314</v>
      </c>
      <c r="K101" s="251"/>
      <c r="L101" s="311" t="str">
        <f t="shared" si="17"/>
        <v/>
      </c>
      <c r="M101" s="311" t="str">
        <f t="shared" si="18"/>
        <v/>
      </c>
      <c r="N101" s="245"/>
      <c r="O101" s="252"/>
      <c r="P101" s="245"/>
      <c r="Q101" s="311" t="str">
        <f t="shared" si="15"/>
        <v/>
      </c>
      <c r="R101" s="311" t="str">
        <f t="shared" si="16"/>
        <v/>
      </c>
      <c r="S101" s="246"/>
      <c r="T101" s="246"/>
      <c r="U101" s="246"/>
      <c r="V101" s="274"/>
      <c r="W101" s="274"/>
      <c r="X101" s="274"/>
      <c r="Y101" s="254" t="str">
        <f t="shared" si="19"/>
        <v/>
      </c>
      <c r="Z101" s="125">
        <v>1000</v>
      </c>
      <c r="AA101" s="316">
        <v>1700</v>
      </c>
      <c r="AB101" s="317">
        <v>2000</v>
      </c>
    </row>
    <row r="102" spans="8:28" ht="15.9" customHeight="1" thickTop="1" thickBot="1" x14ac:dyDescent="0.25">
      <c r="H102" s="372"/>
      <c r="I102" s="257">
        <f>SUM(K95:K107)</f>
        <v>0</v>
      </c>
      <c r="J102" s="256" t="s">
        <v>115</v>
      </c>
      <c r="K102" s="251"/>
      <c r="L102" s="311" t="str">
        <f t="shared" si="17"/>
        <v/>
      </c>
      <c r="M102" s="311" t="str">
        <f t="shared" si="18"/>
        <v/>
      </c>
      <c r="N102" s="245"/>
      <c r="O102" s="252"/>
      <c r="P102" s="245"/>
      <c r="Q102" s="311" t="str">
        <f t="shared" si="15"/>
        <v/>
      </c>
      <c r="R102" s="311" t="str">
        <f t="shared" si="16"/>
        <v/>
      </c>
      <c r="S102" s="246"/>
      <c r="T102" s="246"/>
      <c r="U102" s="246"/>
      <c r="V102" s="274"/>
      <c r="W102" s="274"/>
      <c r="X102" s="274"/>
      <c r="Y102" s="254" t="str">
        <f t="shared" si="19"/>
        <v/>
      </c>
      <c r="Z102" s="125">
        <v>1200</v>
      </c>
      <c r="AA102" s="316">
        <v>2100</v>
      </c>
      <c r="AB102" s="317">
        <v>2400</v>
      </c>
    </row>
    <row r="103" spans="8:28" ht="15.9" customHeight="1" thickTop="1" thickBot="1" x14ac:dyDescent="0.25">
      <c r="H103" s="372"/>
      <c r="I103" s="257" t="s">
        <v>129</v>
      </c>
      <c r="J103" s="256" t="s">
        <v>77</v>
      </c>
      <c r="K103" s="251"/>
      <c r="L103" s="311" t="str">
        <f t="shared" si="17"/>
        <v/>
      </c>
      <c r="M103" s="311" t="str">
        <f t="shared" si="18"/>
        <v/>
      </c>
      <c r="N103" s="245"/>
      <c r="O103" s="252"/>
      <c r="P103" s="245"/>
      <c r="Q103" s="311" t="str">
        <f t="shared" si="15"/>
        <v/>
      </c>
      <c r="R103" s="311" t="str">
        <f t="shared" si="16"/>
        <v/>
      </c>
      <c r="S103" s="246"/>
      <c r="T103" s="246"/>
      <c r="U103" s="246"/>
      <c r="V103" s="274"/>
      <c r="W103" s="274"/>
      <c r="X103" s="274"/>
      <c r="Y103" s="254" t="str">
        <f t="shared" si="19"/>
        <v/>
      </c>
      <c r="Z103" s="125">
        <v>1500</v>
      </c>
      <c r="AA103" s="316">
        <v>2600</v>
      </c>
      <c r="AB103" s="317">
        <v>2800</v>
      </c>
    </row>
    <row r="104" spans="8:28" ht="15.9" customHeight="1" thickTop="1" thickBot="1" x14ac:dyDescent="0.25">
      <c r="H104" s="372"/>
      <c r="I104" s="255"/>
      <c r="J104" s="256" t="s">
        <v>76</v>
      </c>
      <c r="K104" s="251"/>
      <c r="L104" s="311" t="str">
        <f t="shared" si="17"/>
        <v/>
      </c>
      <c r="M104" s="311" t="str">
        <f t="shared" si="18"/>
        <v/>
      </c>
      <c r="N104" s="245"/>
      <c r="O104" s="252"/>
      <c r="P104" s="245"/>
      <c r="Q104" s="311" t="str">
        <f t="shared" si="15"/>
        <v/>
      </c>
      <c r="R104" s="311" t="str">
        <f t="shared" si="16"/>
        <v/>
      </c>
      <c r="S104" s="246"/>
      <c r="T104" s="246"/>
      <c r="U104" s="246"/>
      <c r="V104" s="274"/>
      <c r="W104" s="274"/>
      <c r="X104" s="274"/>
      <c r="Y104" s="254" t="str">
        <f t="shared" si="19"/>
        <v/>
      </c>
      <c r="Z104" s="125">
        <v>1900</v>
      </c>
      <c r="AA104" s="316">
        <v>2900</v>
      </c>
      <c r="AB104" s="317">
        <v>3200</v>
      </c>
    </row>
    <row r="105" spans="8:28" ht="15.9" customHeight="1" thickTop="1" thickBot="1" x14ac:dyDescent="0.25">
      <c r="H105" s="372"/>
      <c r="I105" s="255"/>
      <c r="J105" s="259" t="s">
        <v>75</v>
      </c>
      <c r="K105" s="251"/>
      <c r="L105" s="311" t="str">
        <f t="shared" si="17"/>
        <v/>
      </c>
      <c r="M105" s="311" t="str">
        <f t="shared" si="18"/>
        <v/>
      </c>
      <c r="N105" s="245"/>
      <c r="O105" s="252"/>
      <c r="P105" s="245"/>
      <c r="Q105" s="311" t="str">
        <f t="shared" si="15"/>
        <v/>
      </c>
      <c r="R105" s="311" t="str">
        <f t="shared" si="16"/>
        <v/>
      </c>
      <c r="S105" s="246"/>
      <c r="T105" s="246"/>
      <c r="U105" s="246"/>
      <c r="V105" s="274"/>
      <c r="W105" s="274"/>
      <c r="X105" s="274"/>
      <c r="Y105" s="254" t="str">
        <f t="shared" si="19"/>
        <v/>
      </c>
      <c r="Z105" s="100"/>
      <c r="AA105" s="316">
        <v>3300</v>
      </c>
      <c r="AB105" s="100"/>
    </row>
    <row r="106" spans="8:28" ht="15.9" customHeight="1" thickTop="1" thickBot="1" x14ac:dyDescent="0.25">
      <c r="I106" s="255"/>
      <c r="J106" s="259" t="s">
        <v>75</v>
      </c>
      <c r="K106" s="251"/>
      <c r="L106" s="311" t="str">
        <f t="shared" si="17"/>
        <v/>
      </c>
      <c r="M106" s="311" t="str">
        <f t="shared" si="18"/>
        <v/>
      </c>
      <c r="N106" s="245"/>
      <c r="O106" s="252"/>
      <c r="P106" s="245"/>
      <c r="Q106" s="311" t="str">
        <f t="shared" si="15"/>
        <v/>
      </c>
      <c r="R106" s="311" t="str">
        <f t="shared" si="16"/>
        <v/>
      </c>
      <c r="S106" s="246"/>
      <c r="T106" s="246"/>
      <c r="U106" s="246"/>
      <c r="V106" s="274"/>
      <c r="W106" s="274"/>
      <c r="X106" s="312"/>
      <c r="Y106" s="313" t="str">
        <f t="shared" si="19"/>
        <v/>
      </c>
      <c r="Z106" s="100"/>
      <c r="AA106" s="100"/>
    </row>
    <row r="107" spans="8:28" ht="15.9" customHeight="1" thickTop="1" thickBot="1" x14ac:dyDescent="0.25">
      <c r="H107" s="372"/>
      <c r="I107" s="260"/>
      <c r="J107" s="266" t="s">
        <v>75</v>
      </c>
      <c r="K107" s="251"/>
      <c r="L107" s="311" t="str">
        <f t="shared" si="17"/>
        <v/>
      </c>
      <c r="M107" s="311" t="str">
        <f t="shared" si="18"/>
        <v/>
      </c>
      <c r="N107" s="245"/>
      <c r="O107" s="252"/>
      <c r="P107" s="245"/>
      <c r="Q107" s="311" t="str">
        <f t="shared" si="15"/>
        <v/>
      </c>
      <c r="R107" s="311" t="str">
        <f t="shared" si="16"/>
        <v/>
      </c>
      <c r="S107" s="246"/>
      <c r="T107" s="246"/>
      <c r="U107" s="246"/>
      <c r="V107" s="274"/>
      <c r="W107" s="274"/>
      <c r="X107" s="274"/>
      <c r="Y107" s="254" t="str">
        <f t="shared" si="19"/>
        <v/>
      </c>
      <c r="Z107" s="100"/>
      <c r="AA107" s="100"/>
    </row>
    <row r="108" spans="8:28" ht="13.5" customHeight="1" thickTop="1" thickBot="1" x14ac:dyDescent="0.25">
      <c r="H108" s="372"/>
      <c r="I108" s="249" t="s">
        <v>84</v>
      </c>
      <c r="J108" s="258"/>
      <c r="K108" s="265"/>
      <c r="L108" s="280"/>
      <c r="M108" s="280"/>
      <c r="N108" s="258"/>
      <c r="O108" s="258"/>
      <c r="P108" s="258"/>
      <c r="Q108" s="280"/>
      <c r="R108" s="279"/>
      <c r="S108" s="258"/>
      <c r="T108" s="258"/>
      <c r="U108" s="258"/>
      <c r="V108" s="258"/>
      <c r="W108" s="258"/>
      <c r="X108" s="258"/>
      <c r="Y108" s="258"/>
      <c r="Z108" s="100"/>
      <c r="AB108" s="12"/>
    </row>
    <row r="109" spans="8:28" ht="15.9" customHeight="1" thickTop="1" thickBot="1" x14ac:dyDescent="0.25">
      <c r="H109" s="372"/>
      <c r="I109" s="249"/>
      <c r="J109" s="250" t="s">
        <v>73</v>
      </c>
      <c r="K109" s="251"/>
      <c r="L109" s="311" t="str">
        <f t="shared" si="17"/>
        <v/>
      </c>
      <c r="M109" s="311" t="str">
        <f t="shared" si="18"/>
        <v/>
      </c>
      <c r="N109" s="261"/>
      <c r="O109" s="245"/>
      <c r="P109" s="245"/>
      <c r="Q109" s="311" t="str">
        <f t="shared" si="15"/>
        <v/>
      </c>
      <c r="R109" s="311" t="str">
        <f t="shared" si="16"/>
        <v/>
      </c>
      <c r="S109" s="262"/>
      <c r="T109" s="246"/>
      <c r="U109" s="246"/>
      <c r="V109" s="276"/>
      <c r="W109" s="274"/>
      <c r="X109" s="274"/>
      <c r="Y109" s="254" t="str">
        <f t="shared" si="19"/>
        <v/>
      </c>
      <c r="Z109" s="318">
        <v>100</v>
      </c>
      <c r="AA109" s="316">
        <v>300</v>
      </c>
      <c r="AB109" s="317">
        <v>300</v>
      </c>
    </row>
    <row r="110" spans="8:28" ht="15.9" customHeight="1" thickTop="1" thickBot="1" x14ac:dyDescent="0.25">
      <c r="H110" s="372"/>
      <c r="I110" s="255"/>
      <c r="J110" s="250" t="s">
        <v>85</v>
      </c>
      <c r="K110" s="251"/>
      <c r="L110" s="311" t="str">
        <f t="shared" si="17"/>
        <v/>
      </c>
      <c r="M110" s="311" t="str">
        <f t="shared" si="18"/>
        <v/>
      </c>
      <c r="N110" s="261"/>
      <c r="O110" s="245"/>
      <c r="P110" s="245"/>
      <c r="Q110" s="311" t="str">
        <f t="shared" si="15"/>
        <v/>
      </c>
      <c r="R110" s="311" t="str">
        <f t="shared" si="16"/>
        <v/>
      </c>
      <c r="S110" s="262"/>
      <c r="T110" s="246"/>
      <c r="U110" s="246"/>
      <c r="V110" s="276"/>
      <c r="W110" s="274"/>
      <c r="X110" s="314"/>
      <c r="Y110" s="315" t="str">
        <f t="shared" si="19"/>
        <v/>
      </c>
      <c r="Z110" s="125">
        <v>200</v>
      </c>
      <c r="AA110" s="316">
        <v>500</v>
      </c>
      <c r="AB110" s="317">
        <v>500</v>
      </c>
    </row>
    <row r="111" spans="8:28" ht="15.9" customHeight="1" thickTop="1" thickBot="1" x14ac:dyDescent="0.25">
      <c r="H111" s="372"/>
      <c r="I111" s="255"/>
      <c r="J111" s="250" t="s">
        <v>86</v>
      </c>
      <c r="K111" s="251"/>
      <c r="L111" s="311" t="str">
        <f t="shared" si="17"/>
        <v/>
      </c>
      <c r="M111" s="311" t="str">
        <f t="shared" si="18"/>
        <v/>
      </c>
      <c r="N111" s="261"/>
      <c r="O111" s="245"/>
      <c r="P111" s="245"/>
      <c r="Q111" s="311" t="str">
        <f t="shared" si="15"/>
        <v/>
      </c>
      <c r="R111" s="311" t="str">
        <f t="shared" si="16"/>
        <v/>
      </c>
      <c r="S111" s="262"/>
      <c r="T111" s="246"/>
      <c r="U111" s="246"/>
      <c r="V111" s="276"/>
      <c r="W111" s="274"/>
      <c r="X111" s="274"/>
      <c r="Y111" s="254" t="str">
        <f t="shared" si="19"/>
        <v/>
      </c>
      <c r="Z111" s="125">
        <v>300</v>
      </c>
      <c r="AA111" s="316">
        <v>700</v>
      </c>
      <c r="AB111" s="317">
        <v>1000</v>
      </c>
    </row>
    <row r="112" spans="8:28" ht="15.9" customHeight="1" thickTop="1" thickBot="1" x14ac:dyDescent="0.25">
      <c r="H112" s="372"/>
      <c r="I112" s="255"/>
      <c r="J112" s="250" t="s">
        <v>75</v>
      </c>
      <c r="K112" s="251"/>
      <c r="L112" s="311" t="str">
        <f t="shared" si="17"/>
        <v/>
      </c>
      <c r="M112" s="311" t="str">
        <f t="shared" si="18"/>
        <v/>
      </c>
      <c r="N112" s="261"/>
      <c r="O112" s="245"/>
      <c r="P112" s="245"/>
      <c r="Q112" s="311" t="str">
        <f t="shared" si="15"/>
        <v/>
      </c>
      <c r="R112" s="311" t="str">
        <f t="shared" si="16"/>
        <v/>
      </c>
      <c r="S112" s="262"/>
      <c r="T112" s="246"/>
      <c r="U112" s="246"/>
      <c r="V112" s="276"/>
      <c r="W112" s="274"/>
      <c r="X112" s="274"/>
      <c r="Y112" s="254" t="str">
        <f t="shared" si="19"/>
        <v/>
      </c>
      <c r="Z112" s="125">
        <v>400</v>
      </c>
      <c r="AA112" s="316">
        <v>1000</v>
      </c>
      <c r="AB112" s="317">
        <v>1200</v>
      </c>
    </row>
    <row r="113" spans="8:28" ht="15.9" customHeight="1" thickTop="1" thickBot="1" x14ac:dyDescent="0.25">
      <c r="H113" s="372"/>
      <c r="I113" s="255"/>
      <c r="J113" s="250" t="s">
        <v>75</v>
      </c>
      <c r="K113" s="251"/>
      <c r="L113" s="311" t="str">
        <f t="shared" si="17"/>
        <v/>
      </c>
      <c r="M113" s="311" t="str">
        <f t="shared" si="18"/>
        <v/>
      </c>
      <c r="N113" s="261"/>
      <c r="O113" s="245"/>
      <c r="P113" s="245"/>
      <c r="Q113" s="311" t="str">
        <f t="shared" si="15"/>
        <v/>
      </c>
      <c r="R113" s="311" t="str">
        <f t="shared" si="16"/>
        <v/>
      </c>
      <c r="S113" s="262"/>
      <c r="T113" s="246"/>
      <c r="U113" s="246"/>
      <c r="V113" s="276"/>
      <c r="W113" s="274"/>
      <c r="X113" s="274"/>
      <c r="Y113" s="254" t="str">
        <f t="shared" si="19"/>
        <v/>
      </c>
      <c r="Z113" s="125">
        <v>600</v>
      </c>
      <c r="AA113" s="316">
        <v>1250</v>
      </c>
      <c r="AB113" s="317">
        <v>1600</v>
      </c>
    </row>
    <row r="114" spans="8:28" ht="15.9" customHeight="1" thickTop="1" thickBot="1" x14ac:dyDescent="0.25">
      <c r="H114" s="372"/>
      <c r="I114" s="257">
        <f>SUM(K109:K119)</f>
        <v>0</v>
      </c>
      <c r="J114" s="250" t="s">
        <v>75</v>
      </c>
      <c r="K114" s="251"/>
      <c r="L114" s="311" t="str">
        <f t="shared" si="17"/>
        <v/>
      </c>
      <c r="M114" s="311" t="str">
        <f t="shared" si="18"/>
        <v/>
      </c>
      <c r="N114" s="261"/>
      <c r="O114" s="245"/>
      <c r="P114" s="245"/>
      <c r="Q114" s="311" t="str">
        <f t="shared" si="15"/>
        <v/>
      </c>
      <c r="R114" s="311" t="str">
        <f t="shared" si="16"/>
        <v/>
      </c>
      <c r="S114" s="262"/>
      <c r="T114" s="246"/>
      <c r="U114" s="246"/>
      <c r="V114" s="276"/>
      <c r="W114" s="274"/>
      <c r="X114" s="274"/>
      <c r="Y114" s="254" t="str">
        <f t="shared" si="19"/>
        <v/>
      </c>
      <c r="Z114" s="125">
        <v>800</v>
      </c>
      <c r="AA114" s="316">
        <v>1500</v>
      </c>
      <c r="AB114" s="317">
        <v>1800</v>
      </c>
    </row>
    <row r="115" spans="8:28" ht="15.9" customHeight="1" thickTop="1" thickBot="1" x14ac:dyDescent="0.25">
      <c r="H115" s="372"/>
      <c r="I115" s="257" t="s">
        <v>129</v>
      </c>
      <c r="J115" s="250" t="s">
        <v>315</v>
      </c>
      <c r="K115" s="251"/>
      <c r="L115" s="311" t="str">
        <f t="shared" si="17"/>
        <v/>
      </c>
      <c r="M115" s="311" t="str">
        <f t="shared" si="18"/>
        <v/>
      </c>
      <c r="N115" s="261"/>
      <c r="O115" s="245"/>
      <c r="P115" s="245"/>
      <c r="Q115" s="311" t="str">
        <f t="shared" si="15"/>
        <v/>
      </c>
      <c r="R115" s="311" t="str">
        <f t="shared" si="16"/>
        <v/>
      </c>
      <c r="S115" s="262"/>
      <c r="T115" s="246"/>
      <c r="U115" s="246"/>
      <c r="V115" s="276"/>
      <c r="W115" s="274"/>
      <c r="X115" s="274"/>
      <c r="Y115" s="254" t="str">
        <f t="shared" si="19"/>
        <v/>
      </c>
      <c r="Z115" s="125">
        <v>1000</v>
      </c>
      <c r="AA115" s="316">
        <v>1700</v>
      </c>
      <c r="AB115" s="317">
        <v>2000</v>
      </c>
    </row>
    <row r="116" spans="8:28" ht="15.9" customHeight="1" thickTop="1" thickBot="1" x14ac:dyDescent="0.25">
      <c r="H116" s="372"/>
      <c r="I116" s="255"/>
      <c r="J116" s="256" t="s">
        <v>75</v>
      </c>
      <c r="K116" s="251"/>
      <c r="L116" s="311" t="str">
        <f t="shared" si="17"/>
        <v/>
      </c>
      <c r="M116" s="311" t="str">
        <f t="shared" si="18"/>
        <v/>
      </c>
      <c r="N116" s="263"/>
      <c r="O116" s="252"/>
      <c r="P116" s="252"/>
      <c r="Q116" s="311" t="str">
        <f t="shared" si="15"/>
        <v/>
      </c>
      <c r="R116" s="311" t="str">
        <f t="shared" si="16"/>
        <v/>
      </c>
      <c r="S116" s="264"/>
      <c r="T116" s="253"/>
      <c r="U116" s="253"/>
      <c r="V116" s="277"/>
      <c r="W116" s="275"/>
      <c r="X116" s="275"/>
      <c r="Y116" s="254" t="str">
        <f t="shared" si="19"/>
        <v/>
      </c>
      <c r="Z116" s="125">
        <v>1200</v>
      </c>
      <c r="AA116" s="316">
        <v>2100</v>
      </c>
      <c r="AB116" s="317">
        <v>2400</v>
      </c>
    </row>
    <row r="117" spans="8:28" ht="15.9" customHeight="1" thickTop="1" thickBot="1" x14ac:dyDescent="0.25">
      <c r="H117" s="372"/>
      <c r="I117" s="255"/>
      <c r="J117" s="256" t="s">
        <v>75</v>
      </c>
      <c r="K117" s="251"/>
      <c r="L117" s="311" t="str">
        <f t="shared" si="17"/>
        <v/>
      </c>
      <c r="M117" s="311" t="str">
        <f t="shared" si="18"/>
        <v/>
      </c>
      <c r="N117" s="263"/>
      <c r="O117" s="252"/>
      <c r="P117" s="252"/>
      <c r="Q117" s="311" t="str">
        <f t="shared" si="15"/>
        <v/>
      </c>
      <c r="R117" s="311" t="str">
        <f t="shared" si="16"/>
        <v/>
      </c>
      <c r="S117" s="264"/>
      <c r="T117" s="253"/>
      <c r="U117" s="253"/>
      <c r="V117" s="277"/>
      <c r="W117" s="275"/>
      <c r="X117" s="275"/>
      <c r="Y117" s="254" t="str">
        <f t="shared" si="19"/>
        <v/>
      </c>
      <c r="Z117" s="125">
        <v>1500</v>
      </c>
      <c r="AA117" s="316">
        <v>2600</v>
      </c>
      <c r="AB117" s="317">
        <v>2800</v>
      </c>
    </row>
    <row r="118" spans="8:28" ht="15.9" customHeight="1" thickTop="1" thickBot="1" x14ac:dyDescent="0.25">
      <c r="H118" s="372"/>
      <c r="I118" s="255"/>
      <c r="J118" s="256" t="s">
        <v>75</v>
      </c>
      <c r="K118" s="251"/>
      <c r="L118" s="311" t="str">
        <f t="shared" si="17"/>
        <v/>
      </c>
      <c r="M118" s="311" t="str">
        <f t="shared" si="18"/>
        <v/>
      </c>
      <c r="N118" s="263"/>
      <c r="O118" s="252"/>
      <c r="P118" s="252"/>
      <c r="Q118" s="311" t="str">
        <f t="shared" si="15"/>
        <v/>
      </c>
      <c r="R118" s="311" t="str">
        <f t="shared" si="16"/>
        <v/>
      </c>
      <c r="S118" s="264"/>
      <c r="T118" s="253"/>
      <c r="U118" s="253"/>
      <c r="V118" s="277"/>
      <c r="W118" s="275"/>
      <c r="X118" s="275"/>
      <c r="Y118" s="254" t="str">
        <f t="shared" si="19"/>
        <v/>
      </c>
      <c r="Z118" s="125">
        <v>1900</v>
      </c>
      <c r="AA118" s="316">
        <v>2900</v>
      </c>
      <c r="AB118" s="317">
        <v>3200</v>
      </c>
    </row>
    <row r="119" spans="8:28" ht="15.9" customHeight="1" thickTop="1" thickBot="1" x14ac:dyDescent="0.25">
      <c r="I119" s="255"/>
      <c r="J119" s="256" t="s">
        <v>75</v>
      </c>
      <c r="K119" s="251"/>
      <c r="L119" s="311" t="str">
        <f t="shared" si="17"/>
        <v/>
      </c>
      <c r="M119" s="311" t="str">
        <f t="shared" si="18"/>
        <v/>
      </c>
      <c r="N119" s="263"/>
      <c r="O119" s="252"/>
      <c r="P119" s="252"/>
      <c r="Q119" s="311" t="str">
        <f t="shared" si="15"/>
        <v/>
      </c>
      <c r="R119" s="311" t="str">
        <f t="shared" si="16"/>
        <v/>
      </c>
      <c r="S119" s="264"/>
      <c r="T119" s="253"/>
      <c r="U119" s="248"/>
      <c r="V119" s="277"/>
      <c r="W119" s="275"/>
      <c r="X119" s="278"/>
      <c r="Y119" s="254" t="str">
        <f t="shared" si="19"/>
        <v/>
      </c>
      <c r="Z119" s="100"/>
      <c r="AA119" s="316">
        <v>3300</v>
      </c>
    </row>
    <row r="120" spans="8:28" ht="15.9" customHeight="1" thickTop="1" thickBot="1" x14ac:dyDescent="0.25">
      <c r="I120" s="207"/>
      <c r="J120" s="234" t="s">
        <v>209</v>
      </c>
      <c r="K120" s="183">
        <f>I102+I114</f>
        <v>0</v>
      </c>
      <c r="L120" s="116">
        <f>SUM(L94:L119)/1000</f>
        <v>0</v>
      </c>
      <c r="M120" s="117">
        <f>SUM(M94:M119)/1000</f>
        <v>0</v>
      </c>
      <c r="N120" s="147"/>
      <c r="O120" s="147"/>
      <c r="P120" s="147"/>
      <c r="Q120" s="116">
        <f>SUM(Q94:Q119)/1000</f>
        <v>0</v>
      </c>
      <c r="R120" s="117">
        <f>SUM(R94:R119)/1000</f>
        <v>0</v>
      </c>
      <c r="S120" s="284"/>
      <c r="T120" s="284"/>
      <c r="U120" s="147"/>
      <c r="V120" s="277"/>
      <c r="W120" s="275"/>
      <c r="X120" s="275"/>
      <c r="Y120" s="118">
        <f>SUM(Y95:Y119)</f>
        <v>0</v>
      </c>
      <c r="Z120" s="258"/>
    </row>
    <row r="121" spans="8:28" ht="14.4" thickTop="1" x14ac:dyDescent="0.2">
      <c r="K121" s="99" t="s">
        <v>129</v>
      </c>
      <c r="L121" s="99" t="s">
        <v>127</v>
      </c>
      <c r="M121" s="99" t="s">
        <v>127</v>
      </c>
      <c r="N121" s="99"/>
      <c r="O121" s="99"/>
      <c r="P121" s="99"/>
      <c r="Q121" s="99" t="s">
        <v>127</v>
      </c>
      <c r="R121" s="99" t="s">
        <v>127</v>
      </c>
      <c r="S121" s="99"/>
      <c r="T121" s="99"/>
      <c r="U121" s="99"/>
      <c r="V121" s="308"/>
      <c r="W121" s="309"/>
      <c r="X121" s="309"/>
      <c r="Y121" s="99" t="s">
        <v>128</v>
      </c>
      <c r="Z121" s="173"/>
    </row>
    <row r="122" spans="8:28" ht="13.8" x14ac:dyDescent="0.2">
      <c r="V122" s="271"/>
      <c r="W122" s="271"/>
      <c r="X122" s="271"/>
      <c r="Z122" s="99"/>
    </row>
  </sheetData>
  <autoFilter ref="H20:H72" xr:uid="{00000000-0009-0000-0000-000000000000}"/>
  <mergeCells count="43">
    <mergeCell ref="A77:G77"/>
    <mergeCell ref="A78:G78"/>
    <mergeCell ref="C1:G1"/>
    <mergeCell ref="A10:F10"/>
    <mergeCell ref="A9:F9"/>
    <mergeCell ref="B19:B20"/>
    <mergeCell ref="C19:C20"/>
    <mergeCell ref="D19:D20"/>
    <mergeCell ref="E19:E20"/>
    <mergeCell ref="A5:C5"/>
    <mergeCell ref="A6:C6"/>
    <mergeCell ref="A7:C7"/>
    <mergeCell ref="A8:C8"/>
    <mergeCell ref="A18:G18"/>
    <mergeCell ref="A2:C2"/>
    <mergeCell ref="A4:C4"/>
    <mergeCell ref="A84:G84"/>
    <mergeCell ref="A83:G83"/>
    <mergeCell ref="A80:C80"/>
    <mergeCell ref="A79:G79"/>
    <mergeCell ref="A85:G85"/>
    <mergeCell ref="A76:G76"/>
    <mergeCell ref="A70:F70"/>
    <mergeCell ref="B71:F71"/>
    <mergeCell ref="V10:W13"/>
    <mergeCell ref="F11:G11"/>
    <mergeCell ref="A17:G17"/>
    <mergeCell ref="F12:G12"/>
    <mergeCell ref="F13:G13"/>
    <mergeCell ref="A74:C74"/>
    <mergeCell ref="A21:D21"/>
    <mergeCell ref="A32:D32"/>
    <mergeCell ref="A44:D44"/>
    <mergeCell ref="A55:D55"/>
    <mergeCell ref="H95:H105"/>
    <mergeCell ref="H107:H118"/>
    <mergeCell ref="B88:C88"/>
    <mergeCell ref="B89:C89"/>
    <mergeCell ref="V93:X93"/>
    <mergeCell ref="Q92:X92"/>
    <mergeCell ref="L93:P93"/>
    <mergeCell ref="Q93:U93"/>
    <mergeCell ref="L92:P92"/>
  </mergeCells>
  <phoneticPr fontId="17" type="noConversion"/>
  <conditionalFormatting sqref="D11:G11">
    <cfRule type="expression" dxfId="2" priority="1">
      <formula>$E$11="X"</formula>
    </cfRule>
  </conditionalFormatting>
  <conditionalFormatting sqref="D12:G12">
    <cfRule type="expression" dxfId="1" priority="3">
      <formula>$E$12="X"</formula>
    </cfRule>
  </conditionalFormatting>
  <conditionalFormatting sqref="D13:G13">
    <cfRule type="expression" dxfId="0" priority="10">
      <formula>$E$13="X"</formula>
    </cfRule>
  </conditionalFormatting>
  <hyperlinks>
    <hyperlink ref="B91" r:id="rId1" xr:uid="{34CFCFD2-B892-4BD0-8FCB-74D575759BD3}"/>
    <hyperlink ref="A74" r:id="rId2" xr:uid="{1B4598AB-74B5-4DE1-86C6-AEBE1ED371D9}"/>
  </hyperlinks>
  <pageMargins left="0.70866141732283505" right="0.23622047244094499" top="1.14173228346457" bottom="1.0629910323709499" header="0.19684930008748899" footer="0.15748031496063"/>
  <pageSetup paperSize="9" scale="85" orientation="portrait" r:id="rId3"/>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4"/>
  <legacyDrawing r:id="rId5"/>
  <legacyDrawingHF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5709-C717-4FB8-A8CC-51283ED2AFDA}">
  <sheetPr codeName="Foaie9">
    <tabColor rgb="FFFF3B3B"/>
  </sheetPr>
  <dimension ref="A1:V179"/>
  <sheetViews>
    <sheetView tabSelected="1" topLeftCell="A22" zoomScaleNormal="100" zoomScaleSheetLayoutView="100" workbookViewId="0">
      <selection activeCell="E140" sqref="E140"/>
    </sheetView>
  </sheetViews>
  <sheetFormatPr defaultColWidth="9.109375" defaultRowHeight="11.4" x14ac:dyDescent="0.2"/>
  <cols>
    <col min="1" max="1" width="5.6640625" style="6" customWidth="1"/>
    <col min="2" max="2" width="8.33203125" style="6" customWidth="1"/>
    <col min="3" max="3" width="59.21875" style="6" customWidth="1"/>
    <col min="4" max="4" width="7.77734375" style="6" customWidth="1"/>
    <col min="5" max="5" width="5.88671875" style="6" customWidth="1"/>
    <col min="6" max="6" width="10.6640625" style="6" customWidth="1"/>
    <col min="7" max="7" width="10.5546875" style="6" customWidth="1"/>
    <col min="8" max="8" width="7.5546875" style="6" customWidth="1"/>
    <col min="9" max="9" width="9.109375" style="6" hidden="1" customWidth="1"/>
    <col min="10" max="11" width="0.109375" style="6" hidden="1" customWidth="1"/>
    <col min="12" max="13" width="9.109375" style="6"/>
    <col min="14" max="14" width="9.5546875" style="6" customWidth="1"/>
    <col min="15" max="15" width="12" style="6" customWidth="1"/>
    <col min="16" max="16" width="11" style="6" customWidth="1"/>
    <col min="17" max="17" width="14.88671875" style="6" bestFit="1" customWidth="1"/>
    <col min="18" max="18" width="8" style="6" customWidth="1"/>
    <col min="19" max="19" width="9.109375" style="6"/>
    <col min="20" max="20" width="12.33203125" style="6" customWidth="1"/>
    <col min="21" max="21" width="11" style="6" customWidth="1"/>
    <col min="22" max="22" width="9.109375" style="6"/>
    <col min="23" max="24" width="9.6640625" style="6" customWidth="1"/>
    <col min="25" max="16384" width="9.109375" style="6"/>
  </cols>
  <sheetData>
    <row r="1" spans="1:18" ht="131.55000000000001" customHeight="1" x14ac:dyDescent="0.2">
      <c r="C1" s="405" t="s">
        <v>383</v>
      </c>
      <c r="D1" s="405"/>
      <c r="E1" s="405"/>
      <c r="F1" s="405"/>
      <c r="G1" s="405"/>
      <c r="H1" s="10"/>
      <c r="I1" s="10"/>
      <c r="J1" s="10"/>
      <c r="K1" s="10"/>
    </row>
    <row r="2" spans="1:18" ht="14.4" x14ac:dyDescent="0.3">
      <c r="A2" s="408" t="s">
        <v>420</v>
      </c>
      <c r="B2" s="409"/>
      <c r="C2" s="409"/>
    </row>
    <row r="3" spans="1:18" x14ac:dyDescent="0.2">
      <c r="A3" s="2"/>
    </row>
    <row r="4" spans="1:18" ht="14.4" x14ac:dyDescent="0.3">
      <c r="A4" s="419" t="s">
        <v>149</v>
      </c>
      <c r="B4" s="409"/>
      <c r="C4" s="409"/>
    </row>
    <row r="5" spans="1:18" ht="14.4" x14ac:dyDescent="0.3">
      <c r="A5" s="419" t="s">
        <v>132</v>
      </c>
      <c r="B5" s="409"/>
      <c r="C5" s="409"/>
    </row>
    <row r="6" spans="1:18" ht="14.4" x14ac:dyDescent="0.3">
      <c r="A6" s="419" t="s">
        <v>15</v>
      </c>
      <c r="B6" s="409"/>
      <c r="C6" s="409"/>
    </row>
    <row r="7" spans="1:18" ht="14.4" x14ac:dyDescent="0.3">
      <c r="A7" s="420" t="s">
        <v>13</v>
      </c>
      <c r="B7" s="421"/>
      <c r="C7" s="421"/>
    </row>
    <row r="8" spans="1:18" ht="14.4" x14ac:dyDescent="0.3">
      <c r="A8" s="419" t="s">
        <v>147</v>
      </c>
      <c r="B8" s="409"/>
      <c r="C8" s="409"/>
    </row>
    <row r="9" spans="1:18" ht="9.75" customHeight="1" x14ac:dyDescent="0.3">
      <c r="A9" s="419"/>
      <c r="B9" s="409"/>
      <c r="C9" s="409"/>
    </row>
    <row r="10" spans="1:18" ht="14.25" customHeight="1" x14ac:dyDescent="0.2">
      <c r="A10" s="406" t="s">
        <v>0</v>
      </c>
      <c r="B10" s="406"/>
      <c r="C10" s="406"/>
      <c r="D10" s="406"/>
      <c r="E10" s="406"/>
      <c r="F10" s="406"/>
      <c r="G10" s="12"/>
      <c r="H10" s="4"/>
      <c r="I10" s="4"/>
      <c r="J10" s="5"/>
      <c r="K10" s="5"/>
      <c r="L10" s="5"/>
      <c r="M10" s="5"/>
      <c r="N10" s="5"/>
      <c r="O10" s="5"/>
      <c r="P10" s="5"/>
      <c r="Q10" s="5"/>
    </row>
    <row r="11" spans="1:18" ht="27.75" customHeight="1" x14ac:dyDescent="0.2">
      <c r="A11" s="406" t="s">
        <v>351</v>
      </c>
      <c r="B11" s="406"/>
      <c r="C11" s="406"/>
      <c r="D11" s="406"/>
      <c r="E11" s="406"/>
      <c r="F11" s="406"/>
      <c r="G11" s="11"/>
      <c r="H11" s="4"/>
      <c r="I11" s="4"/>
      <c r="J11" s="5"/>
      <c r="K11" s="5"/>
      <c r="L11" s="5"/>
      <c r="M11" s="5"/>
      <c r="N11" s="5"/>
      <c r="O11" s="12"/>
      <c r="P11" s="5"/>
      <c r="Q11" s="5"/>
    </row>
    <row r="12" spans="1:18" x14ac:dyDescent="0.2">
      <c r="A12" s="4"/>
      <c r="B12" s="4"/>
      <c r="C12" s="4"/>
      <c r="D12" s="4"/>
      <c r="E12" s="4"/>
      <c r="F12" s="4"/>
      <c r="G12" s="4"/>
      <c r="H12" s="4"/>
      <c r="I12" s="4"/>
      <c r="J12" s="5"/>
      <c r="K12" s="5"/>
      <c r="L12" s="5"/>
      <c r="M12" s="5"/>
      <c r="N12" s="5"/>
      <c r="O12" s="5"/>
      <c r="P12" s="5"/>
      <c r="Q12" s="5"/>
    </row>
    <row r="13" spans="1:18" ht="80.25" customHeight="1" x14ac:dyDescent="0.2">
      <c r="A13" s="4"/>
      <c r="B13" s="4"/>
      <c r="C13" s="4"/>
      <c r="D13" s="4"/>
      <c r="E13" s="4"/>
      <c r="F13" s="4"/>
      <c r="G13" s="4"/>
      <c r="H13" s="4"/>
      <c r="I13" s="4"/>
      <c r="J13" s="5"/>
      <c r="K13" s="5"/>
      <c r="L13" s="286" t="s">
        <v>377</v>
      </c>
      <c r="M13" s="286" t="s">
        <v>220</v>
      </c>
      <c r="N13" s="286"/>
      <c r="O13" s="286" t="s">
        <v>101</v>
      </c>
      <c r="P13" s="286" t="s">
        <v>331</v>
      </c>
      <c r="Q13" s="286" t="s">
        <v>358</v>
      </c>
      <c r="R13" s="332" t="s">
        <v>100</v>
      </c>
    </row>
    <row r="14" spans="1:18" ht="17.25" customHeight="1" x14ac:dyDescent="0.2">
      <c r="A14" s="4"/>
      <c r="B14" s="4"/>
      <c r="C14" s="285"/>
      <c r="D14" s="285"/>
      <c r="E14" s="3"/>
      <c r="F14" s="286"/>
      <c r="G14" s="286"/>
      <c r="H14" s="4"/>
      <c r="I14" s="4"/>
      <c r="J14" s="5"/>
      <c r="K14" s="5"/>
      <c r="L14" s="5"/>
      <c r="M14" s="5"/>
      <c r="N14" s="5"/>
      <c r="O14" s="5"/>
      <c r="P14" s="5"/>
      <c r="Q14" s="5"/>
    </row>
    <row r="15" spans="1:18" ht="21.75" customHeight="1" thickBot="1" x14ac:dyDescent="0.45">
      <c r="A15" s="410" t="s">
        <v>60</v>
      </c>
      <c r="B15" s="411"/>
      <c r="C15" s="411"/>
      <c r="D15" s="411"/>
      <c r="E15" s="411"/>
      <c r="F15" s="411"/>
      <c r="G15" s="411"/>
      <c r="H15" s="5"/>
      <c r="I15" s="5"/>
      <c r="J15" s="5"/>
      <c r="K15" s="5"/>
      <c r="L15" s="5"/>
      <c r="M15" s="5"/>
      <c r="N15" s="5"/>
      <c r="O15" s="5"/>
      <c r="P15" s="5"/>
      <c r="Q15" s="5"/>
    </row>
    <row r="16" spans="1:18" ht="23.25" customHeight="1" thickTop="1" thickBot="1" x14ac:dyDescent="0.25">
      <c r="A16" s="32" t="s">
        <v>1</v>
      </c>
      <c r="B16" s="407" t="s">
        <v>3</v>
      </c>
      <c r="C16" s="407" t="s">
        <v>4</v>
      </c>
      <c r="D16" s="407" t="s">
        <v>5</v>
      </c>
      <c r="E16" s="407" t="s">
        <v>6</v>
      </c>
      <c r="F16" s="32" t="s">
        <v>7</v>
      </c>
      <c r="G16" s="32" t="s">
        <v>9</v>
      </c>
      <c r="H16" s="5"/>
      <c r="I16" s="5"/>
      <c r="J16" s="5"/>
      <c r="K16" s="5"/>
      <c r="L16" s="5"/>
      <c r="M16" s="5"/>
      <c r="N16" s="5"/>
      <c r="O16" s="5"/>
      <c r="P16" s="5"/>
      <c r="Q16" s="5"/>
    </row>
    <row r="17" spans="1:17" ht="27" customHeight="1" thickTop="1" thickBot="1" x14ac:dyDescent="0.25">
      <c r="A17" s="32" t="s">
        <v>2</v>
      </c>
      <c r="B17" s="407"/>
      <c r="C17" s="407"/>
      <c r="D17" s="407"/>
      <c r="E17" s="407"/>
      <c r="F17" s="32" t="s">
        <v>8</v>
      </c>
      <c r="G17" s="32" t="s">
        <v>8</v>
      </c>
      <c r="H17" s="5"/>
      <c r="I17" s="5"/>
      <c r="J17" s="5"/>
      <c r="K17" s="5"/>
      <c r="L17" s="5"/>
      <c r="M17" s="5"/>
      <c r="N17" s="5"/>
      <c r="O17" s="5"/>
      <c r="P17" s="5"/>
      <c r="Q17" s="5"/>
    </row>
    <row r="18" spans="1:17" ht="18" customHeight="1" thickTop="1" thickBot="1" x14ac:dyDescent="0.25">
      <c r="A18" s="292" t="s">
        <v>357</v>
      </c>
      <c r="B18" s="291"/>
      <c r="C18" s="291"/>
      <c r="D18" s="291"/>
      <c r="E18" s="291"/>
      <c r="F18" s="291"/>
      <c r="G18" s="15"/>
      <c r="H18" s="48">
        <f>SUM(H19:H28)</f>
        <v>0</v>
      </c>
      <c r="I18" s="5"/>
      <c r="J18" s="5"/>
      <c r="K18" s="5"/>
      <c r="L18" s="5"/>
      <c r="M18" s="5"/>
      <c r="N18" s="5"/>
      <c r="O18" s="5"/>
      <c r="P18" s="5"/>
      <c r="Q18" s="5"/>
    </row>
    <row r="19" spans="1:17" ht="18" customHeight="1" thickTop="1" thickBot="1" x14ac:dyDescent="0.25">
      <c r="A19" s="22"/>
      <c r="B19" s="23">
        <v>140301</v>
      </c>
      <c r="C19" s="24" t="s">
        <v>225</v>
      </c>
      <c r="D19" s="23" t="s">
        <v>10</v>
      </c>
      <c r="E19" s="362"/>
      <c r="F19" s="350">
        <v>29</v>
      </c>
      <c r="G19" s="366">
        <f t="shared" ref="G19:G28" si="0">E19*F19</f>
        <v>0</v>
      </c>
      <c r="H19" s="48">
        <f t="shared" ref="H19:H28" si="1">E19</f>
        <v>0</v>
      </c>
      <c r="I19" s="5"/>
      <c r="J19" s="5"/>
      <c r="K19" s="5"/>
      <c r="L19" s="5"/>
      <c r="M19" s="5"/>
      <c r="N19" s="5"/>
      <c r="O19" s="5"/>
      <c r="P19" s="5"/>
      <c r="Q19" s="5"/>
    </row>
    <row r="20" spans="1:17" ht="18" customHeight="1" thickTop="1" thickBot="1" x14ac:dyDescent="0.25">
      <c r="A20" s="22"/>
      <c r="B20" s="23">
        <v>140501</v>
      </c>
      <c r="C20" s="24" t="s">
        <v>226</v>
      </c>
      <c r="D20" s="23" t="s">
        <v>10</v>
      </c>
      <c r="E20" s="362"/>
      <c r="F20" s="350">
        <v>42</v>
      </c>
      <c r="G20" s="366">
        <f t="shared" si="0"/>
        <v>0</v>
      </c>
      <c r="H20" s="48">
        <f t="shared" si="1"/>
        <v>0</v>
      </c>
      <c r="I20" s="5"/>
      <c r="J20" s="5"/>
      <c r="K20" s="5"/>
      <c r="L20" s="5"/>
      <c r="M20" s="5"/>
      <c r="N20" s="5"/>
      <c r="O20" s="5"/>
      <c r="P20" s="5"/>
      <c r="Q20" s="5"/>
    </row>
    <row r="21" spans="1:17" ht="18" customHeight="1" thickTop="1" thickBot="1" x14ac:dyDescent="0.25">
      <c r="A21" s="22"/>
      <c r="B21" s="23">
        <v>141001</v>
      </c>
      <c r="C21" s="24" t="s">
        <v>227</v>
      </c>
      <c r="D21" s="23" t="s">
        <v>10</v>
      </c>
      <c r="E21" s="362"/>
      <c r="F21" s="350">
        <v>85</v>
      </c>
      <c r="G21" s="366">
        <f t="shared" si="0"/>
        <v>0</v>
      </c>
      <c r="H21" s="48">
        <f t="shared" si="1"/>
        <v>0</v>
      </c>
      <c r="I21" s="5"/>
      <c r="J21" s="5"/>
      <c r="K21" s="5"/>
      <c r="L21" s="5"/>
      <c r="M21" s="5"/>
      <c r="N21" s="5"/>
      <c r="O21" s="5"/>
      <c r="P21" s="5"/>
      <c r="Q21" s="5"/>
    </row>
    <row r="22" spans="1:17" ht="18" customHeight="1" thickTop="1" thickBot="1" x14ac:dyDescent="0.25">
      <c r="A22" s="22"/>
      <c r="B22" s="23">
        <v>141201</v>
      </c>
      <c r="C22" s="24" t="s">
        <v>228</v>
      </c>
      <c r="D22" s="23" t="s">
        <v>10</v>
      </c>
      <c r="E22" s="362"/>
      <c r="F22" s="350">
        <v>104</v>
      </c>
      <c r="G22" s="366">
        <f t="shared" si="0"/>
        <v>0</v>
      </c>
      <c r="H22" s="48">
        <f t="shared" si="1"/>
        <v>0</v>
      </c>
      <c r="I22" s="5"/>
      <c r="J22" s="5"/>
      <c r="K22" s="5"/>
      <c r="L22" s="5"/>
      <c r="M22" s="5"/>
      <c r="N22" s="5" t="s">
        <v>14</v>
      </c>
      <c r="O22" s="5"/>
      <c r="P22" s="5"/>
      <c r="Q22" s="5"/>
    </row>
    <row r="23" spans="1:17" ht="18" customHeight="1" thickTop="1" thickBot="1" x14ac:dyDescent="0.25">
      <c r="A23" s="22"/>
      <c r="B23" s="23">
        <v>141601</v>
      </c>
      <c r="C23" s="24" t="s">
        <v>229</v>
      </c>
      <c r="D23" s="23" t="s">
        <v>10</v>
      </c>
      <c r="E23" s="362"/>
      <c r="F23" s="352">
        <v>145</v>
      </c>
      <c r="G23" s="366">
        <f t="shared" si="0"/>
        <v>0</v>
      </c>
      <c r="H23" s="48">
        <f t="shared" si="1"/>
        <v>0</v>
      </c>
      <c r="L23" s="5"/>
    </row>
    <row r="24" spans="1:17" ht="18" customHeight="1" thickTop="1" thickBot="1" x14ac:dyDescent="0.25">
      <c r="A24" s="22"/>
      <c r="B24" s="23">
        <v>141801</v>
      </c>
      <c r="C24" s="24" t="s">
        <v>230</v>
      </c>
      <c r="D24" s="23" t="s">
        <v>10</v>
      </c>
      <c r="E24" s="362"/>
      <c r="F24" s="352">
        <v>163</v>
      </c>
      <c r="G24" s="366">
        <f t="shared" si="0"/>
        <v>0</v>
      </c>
      <c r="H24" s="48">
        <f t="shared" si="1"/>
        <v>0</v>
      </c>
      <c r="L24" s="5"/>
    </row>
    <row r="25" spans="1:17" ht="18" customHeight="1" thickTop="1" thickBot="1" x14ac:dyDescent="0.25">
      <c r="A25" s="22"/>
      <c r="B25" s="23">
        <v>142001</v>
      </c>
      <c r="C25" s="24" t="s">
        <v>231</v>
      </c>
      <c r="D25" s="23" t="s">
        <v>10</v>
      </c>
      <c r="E25" s="362"/>
      <c r="F25" s="352">
        <v>182</v>
      </c>
      <c r="G25" s="366">
        <f t="shared" si="0"/>
        <v>0</v>
      </c>
      <c r="H25" s="48">
        <f t="shared" si="1"/>
        <v>0</v>
      </c>
      <c r="L25" s="5"/>
    </row>
    <row r="26" spans="1:17" ht="18" customHeight="1" thickTop="1" thickBot="1" x14ac:dyDescent="0.25">
      <c r="A26" s="22"/>
      <c r="B26" s="23">
        <v>142401</v>
      </c>
      <c r="C26" s="24" t="s">
        <v>232</v>
      </c>
      <c r="D26" s="23" t="s">
        <v>10</v>
      </c>
      <c r="E26" s="362"/>
      <c r="F26" s="352">
        <v>222</v>
      </c>
      <c r="G26" s="366">
        <f t="shared" si="0"/>
        <v>0</v>
      </c>
      <c r="H26" s="48">
        <f t="shared" si="1"/>
        <v>0</v>
      </c>
      <c r="L26" s="5"/>
    </row>
    <row r="27" spans="1:17" ht="18" customHeight="1" thickTop="1" thickBot="1" x14ac:dyDescent="0.25">
      <c r="A27" s="22"/>
      <c r="B27" s="23">
        <v>142801</v>
      </c>
      <c r="C27" s="24" t="s">
        <v>233</v>
      </c>
      <c r="D27" s="23" t="s">
        <v>10</v>
      </c>
      <c r="E27" s="362"/>
      <c r="F27" s="352">
        <v>265</v>
      </c>
      <c r="G27" s="366">
        <f t="shared" si="0"/>
        <v>0</v>
      </c>
      <c r="H27" s="48">
        <f t="shared" si="1"/>
        <v>0</v>
      </c>
      <c r="L27" s="5"/>
    </row>
    <row r="28" spans="1:17" ht="18" customHeight="1" thickTop="1" thickBot="1" x14ac:dyDescent="0.25">
      <c r="A28" s="22"/>
      <c r="B28" s="23">
        <v>143201</v>
      </c>
      <c r="C28" s="24" t="s">
        <v>234</v>
      </c>
      <c r="D28" s="23" t="s">
        <v>10</v>
      </c>
      <c r="E28" s="362"/>
      <c r="F28" s="352">
        <v>313</v>
      </c>
      <c r="G28" s="366">
        <f t="shared" si="0"/>
        <v>0</v>
      </c>
      <c r="H28" s="48">
        <f t="shared" si="1"/>
        <v>0</v>
      </c>
      <c r="L28" s="5"/>
    </row>
    <row r="29" spans="1:17" ht="18" customHeight="1" thickTop="1" thickBot="1" x14ac:dyDescent="0.25">
      <c r="A29" s="292" t="s">
        <v>145</v>
      </c>
      <c r="B29" s="291"/>
      <c r="C29" s="291"/>
      <c r="D29" s="291"/>
      <c r="E29" s="291"/>
      <c r="F29" s="291"/>
      <c r="G29" s="15"/>
      <c r="H29" s="48">
        <f>SUM(H30:H40)</f>
        <v>0</v>
      </c>
      <c r="I29" s="5"/>
      <c r="J29" s="5"/>
      <c r="K29" s="5"/>
      <c r="L29" s="5"/>
      <c r="M29" s="5"/>
      <c r="N29" s="5"/>
      <c r="O29" s="5"/>
      <c r="P29" s="5"/>
      <c r="Q29" s="5"/>
    </row>
    <row r="30" spans="1:17" ht="18" customHeight="1" thickTop="1" thickBot="1" x14ac:dyDescent="0.25">
      <c r="A30" s="22"/>
      <c r="B30" s="23">
        <v>120300</v>
      </c>
      <c r="C30" s="24" t="s">
        <v>26</v>
      </c>
      <c r="D30" s="23" t="s">
        <v>10</v>
      </c>
      <c r="E30" s="23"/>
      <c r="F30" s="342">
        <v>44</v>
      </c>
      <c r="G30" s="366">
        <f t="shared" ref="G30:G40" si="2">E30*F30</f>
        <v>0</v>
      </c>
      <c r="H30" s="48">
        <f t="shared" ref="H30:H51" si="3">E30</f>
        <v>0</v>
      </c>
      <c r="L30" s="5"/>
    </row>
    <row r="31" spans="1:17" ht="18" customHeight="1" thickTop="1" thickBot="1" x14ac:dyDescent="0.25">
      <c r="A31" s="22"/>
      <c r="B31" s="23">
        <v>120500</v>
      </c>
      <c r="C31" s="24" t="s">
        <v>117</v>
      </c>
      <c r="D31" s="23" t="s">
        <v>10</v>
      </c>
      <c r="E31" s="23"/>
      <c r="F31" s="343">
        <v>65</v>
      </c>
      <c r="G31" s="366">
        <f t="shared" si="2"/>
        <v>0</v>
      </c>
      <c r="H31" s="48">
        <f t="shared" si="3"/>
        <v>0</v>
      </c>
      <c r="L31" s="5"/>
    </row>
    <row r="32" spans="1:17" ht="18" customHeight="1" thickTop="1" thickBot="1" x14ac:dyDescent="0.25">
      <c r="A32" s="22"/>
      <c r="B32" s="23">
        <v>120700</v>
      </c>
      <c r="C32" s="24" t="s">
        <v>118</v>
      </c>
      <c r="D32" s="23" t="s">
        <v>10</v>
      </c>
      <c r="E32" s="23"/>
      <c r="F32" s="342">
        <v>79</v>
      </c>
      <c r="G32" s="366">
        <f t="shared" si="2"/>
        <v>0</v>
      </c>
      <c r="H32" s="48">
        <f t="shared" si="3"/>
        <v>0</v>
      </c>
      <c r="L32" s="5"/>
    </row>
    <row r="33" spans="1:22" ht="18" customHeight="1" thickTop="1" thickBot="1" x14ac:dyDescent="0.25">
      <c r="A33" s="22"/>
      <c r="B33" s="23">
        <v>121000</v>
      </c>
      <c r="C33" s="24" t="s">
        <v>119</v>
      </c>
      <c r="D33" s="23" t="s">
        <v>10</v>
      </c>
      <c r="E33" s="23"/>
      <c r="F33" s="342">
        <v>112</v>
      </c>
      <c r="G33" s="366">
        <f t="shared" si="2"/>
        <v>0</v>
      </c>
      <c r="H33" s="48">
        <f t="shared" si="3"/>
        <v>0</v>
      </c>
      <c r="L33" s="5"/>
    </row>
    <row r="34" spans="1:22" ht="18" customHeight="1" thickTop="1" thickBot="1" x14ac:dyDescent="0.25">
      <c r="A34" s="22"/>
      <c r="B34" s="23">
        <v>121250</v>
      </c>
      <c r="C34" s="24" t="s">
        <v>120</v>
      </c>
      <c r="D34" s="23" t="s">
        <v>10</v>
      </c>
      <c r="E34" s="23"/>
      <c r="F34" s="342">
        <v>141</v>
      </c>
      <c r="G34" s="366">
        <f t="shared" si="2"/>
        <v>0</v>
      </c>
      <c r="H34" s="48">
        <f t="shared" si="3"/>
        <v>0</v>
      </c>
      <c r="L34" s="5"/>
      <c r="M34" s="68"/>
    </row>
    <row r="35" spans="1:22" ht="18" customHeight="1" thickTop="1" thickBot="1" x14ac:dyDescent="0.25">
      <c r="A35" s="22"/>
      <c r="B35" s="23">
        <v>121501</v>
      </c>
      <c r="C35" s="24" t="s">
        <v>25</v>
      </c>
      <c r="D35" s="23" t="s">
        <v>10</v>
      </c>
      <c r="E35" s="23"/>
      <c r="F35" s="342">
        <v>176</v>
      </c>
      <c r="G35" s="366">
        <f t="shared" si="2"/>
        <v>0</v>
      </c>
      <c r="H35" s="48">
        <f t="shared" si="3"/>
        <v>0</v>
      </c>
      <c r="L35" s="5"/>
    </row>
    <row r="36" spans="1:22" ht="18" customHeight="1" thickTop="1" thickBot="1" x14ac:dyDescent="0.25">
      <c r="A36" s="22"/>
      <c r="B36" s="23">
        <v>121700</v>
      </c>
      <c r="C36" s="24" t="s">
        <v>121</v>
      </c>
      <c r="D36" s="23" t="s">
        <v>10</v>
      </c>
      <c r="E36" s="23"/>
      <c r="F36" s="342">
        <v>187</v>
      </c>
      <c r="G36" s="366">
        <f t="shared" si="2"/>
        <v>0</v>
      </c>
      <c r="H36" s="48">
        <f t="shared" si="3"/>
        <v>0</v>
      </c>
      <c r="L36" s="5"/>
    </row>
    <row r="37" spans="1:22" ht="18" customHeight="1" thickTop="1" thickBot="1" x14ac:dyDescent="0.25">
      <c r="A37" s="22"/>
      <c r="B37" s="23">
        <v>122100</v>
      </c>
      <c r="C37" s="24" t="s">
        <v>122</v>
      </c>
      <c r="D37" s="23" t="s">
        <v>10</v>
      </c>
      <c r="E37" s="23"/>
      <c r="F37" s="342">
        <v>233</v>
      </c>
      <c r="G37" s="366">
        <f t="shared" si="2"/>
        <v>0</v>
      </c>
      <c r="H37" s="48">
        <f t="shared" si="3"/>
        <v>0</v>
      </c>
      <c r="L37" s="5"/>
    </row>
    <row r="38" spans="1:22" ht="18" customHeight="1" thickTop="1" thickBot="1" x14ac:dyDescent="0.25">
      <c r="A38" s="22"/>
      <c r="B38" s="23">
        <v>122600</v>
      </c>
      <c r="C38" s="24" t="s">
        <v>123</v>
      </c>
      <c r="D38" s="23" t="s">
        <v>10</v>
      </c>
      <c r="E38" s="23"/>
      <c r="F38" s="342">
        <v>280</v>
      </c>
      <c r="G38" s="366">
        <f t="shared" si="2"/>
        <v>0</v>
      </c>
      <c r="H38" s="48">
        <f t="shared" si="3"/>
        <v>0</v>
      </c>
      <c r="L38" s="5"/>
    </row>
    <row r="39" spans="1:22" ht="18" customHeight="1" thickTop="1" thickBot="1" x14ac:dyDescent="0.25">
      <c r="A39" s="22"/>
      <c r="B39" s="23">
        <v>122900</v>
      </c>
      <c r="C39" s="24" t="s">
        <v>124</v>
      </c>
      <c r="D39" s="23" t="s">
        <v>10</v>
      </c>
      <c r="E39" s="23"/>
      <c r="F39" s="342">
        <v>310</v>
      </c>
      <c r="G39" s="366">
        <f t="shared" si="2"/>
        <v>0</v>
      </c>
      <c r="H39" s="48">
        <f t="shared" si="3"/>
        <v>0</v>
      </c>
      <c r="L39" s="5"/>
    </row>
    <row r="40" spans="1:22" ht="18" customHeight="1" thickTop="1" thickBot="1" x14ac:dyDescent="0.25">
      <c r="A40" s="76"/>
      <c r="B40" s="77">
        <v>123200</v>
      </c>
      <c r="C40" s="78" t="s">
        <v>27</v>
      </c>
      <c r="D40" s="77" t="s">
        <v>10</v>
      </c>
      <c r="E40" s="77"/>
      <c r="F40" s="342">
        <v>355</v>
      </c>
      <c r="G40" s="79">
        <f t="shared" si="2"/>
        <v>0</v>
      </c>
      <c r="H40" s="48">
        <f t="shared" si="3"/>
        <v>0</v>
      </c>
      <c r="L40" s="5"/>
    </row>
    <row r="41" spans="1:22" ht="18" customHeight="1" thickTop="1" thickBot="1" x14ac:dyDescent="0.25">
      <c r="A41" s="292" t="s">
        <v>144</v>
      </c>
      <c r="B41" s="291"/>
      <c r="C41" s="291"/>
      <c r="D41" s="291"/>
      <c r="E41" s="291"/>
      <c r="F41" s="291"/>
      <c r="G41" s="15"/>
      <c r="H41" s="48">
        <f>SUM(H42:H51)</f>
        <v>0</v>
      </c>
      <c r="L41" s="5"/>
    </row>
    <row r="42" spans="1:22" ht="18" customHeight="1" thickTop="1" thickBot="1" x14ac:dyDescent="0.25">
      <c r="A42" s="76"/>
      <c r="B42" s="80">
        <v>120107</v>
      </c>
      <c r="C42" s="81" t="s">
        <v>89</v>
      </c>
      <c r="D42" s="23" t="s">
        <v>10</v>
      </c>
      <c r="E42" s="77"/>
      <c r="F42" s="342">
        <v>34</v>
      </c>
      <c r="G42" s="79">
        <f t="shared" ref="G42:G51" si="4">E42*F42</f>
        <v>0</v>
      </c>
      <c r="H42" s="48">
        <f t="shared" si="3"/>
        <v>0</v>
      </c>
      <c r="L42" s="5"/>
    </row>
    <row r="43" spans="1:22" ht="18" customHeight="1" thickTop="1" thickBot="1" x14ac:dyDescent="0.25">
      <c r="A43" s="76"/>
      <c r="B43" s="80">
        <v>120207</v>
      </c>
      <c r="C43" s="81" t="s">
        <v>90</v>
      </c>
      <c r="D43" s="23" t="s">
        <v>10</v>
      </c>
      <c r="E43" s="77"/>
      <c r="F43" s="342">
        <v>48</v>
      </c>
      <c r="G43" s="79">
        <f t="shared" si="4"/>
        <v>0</v>
      </c>
      <c r="H43" s="48">
        <f t="shared" si="3"/>
        <v>0</v>
      </c>
      <c r="L43" s="5"/>
    </row>
    <row r="44" spans="1:22" ht="18" customHeight="1" thickTop="1" thickBot="1" x14ac:dyDescent="0.25">
      <c r="A44" s="76"/>
      <c r="B44" s="80">
        <v>120307</v>
      </c>
      <c r="C44" s="81" t="s">
        <v>91</v>
      </c>
      <c r="D44" s="23" t="s">
        <v>10</v>
      </c>
      <c r="E44" s="77"/>
      <c r="F44" s="342">
        <v>64</v>
      </c>
      <c r="G44" s="79">
        <f t="shared" si="4"/>
        <v>0</v>
      </c>
      <c r="H44" s="48">
        <f t="shared" si="3"/>
        <v>0</v>
      </c>
      <c r="L44" s="5"/>
    </row>
    <row r="45" spans="1:22" ht="18" customHeight="1" thickTop="1" thickBot="1" x14ac:dyDescent="0.25">
      <c r="A45" s="76"/>
      <c r="B45" s="80">
        <v>120407</v>
      </c>
      <c r="C45" s="81" t="s">
        <v>134</v>
      </c>
      <c r="D45" s="23" t="s">
        <v>10</v>
      </c>
      <c r="E45" s="77"/>
      <c r="F45" s="342">
        <v>79</v>
      </c>
      <c r="G45" s="79">
        <f t="shared" si="4"/>
        <v>0</v>
      </c>
      <c r="H45" s="48">
        <f t="shared" si="3"/>
        <v>0</v>
      </c>
      <c r="L45" s="5"/>
    </row>
    <row r="46" spans="1:22" ht="18" customHeight="1" thickTop="1" thickBot="1" x14ac:dyDescent="0.25">
      <c r="A46" s="76"/>
      <c r="B46" s="80">
        <v>120607</v>
      </c>
      <c r="C46" s="81" t="s">
        <v>92</v>
      </c>
      <c r="D46" s="23" t="s">
        <v>10</v>
      </c>
      <c r="E46" s="77"/>
      <c r="F46" s="342">
        <v>114</v>
      </c>
      <c r="G46" s="79">
        <f t="shared" si="4"/>
        <v>0</v>
      </c>
      <c r="H46" s="48">
        <f t="shared" si="3"/>
        <v>0</v>
      </c>
      <c r="L46" s="5"/>
    </row>
    <row r="47" spans="1:22" ht="18" customHeight="1" thickTop="1" thickBot="1" x14ac:dyDescent="0.25">
      <c r="A47" s="76"/>
      <c r="B47" s="80">
        <v>120807</v>
      </c>
      <c r="C47" s="81" t="s">
        <v>93</v>
      </c>
      <c r="D47" s="23" t="s">
        <v>10</v>
      </c>
      <c r="E47" s="77"/>
      <c r="F47" s="342">
        <v>149</v>
      </c>
      <c r="G47" s="79">
        <f t="shared" si="4"/>
        <v>0</v>
      </c>
      <c r="H47" s="48">
        <f t="shared" si="3"/>
        <v>0</v>
      </c>
      <c r="L47" s="5"/>
    </row>
    <row r="48" spans="1:22" ht="18" customHeight="1" thickTop="1" thickBot="1" x14ac:dyDescent="0.25">
      <c r="A48" s="76"/>
      <c r="B48" s="80">
        <v>121007</v>
      </c>
      <c r="C48" s="81" t="s">
        <v>94</v>
      </c>
      <c r="D48" s="23" t="s">
        <v>10</v>
      </c>
      <c r="E48" s="77"/>
      <c r="F48" s="342">
        <v>181</v>
      </c>
      <c r="G48" s="79">
        <f t="shared" si="4"/>
        <v>0</v>
      </c>
      <c r="H48" s="48">
        <f t="shared" si="3"/>
        <v>0</v>
      </c>
      <c r="L48" s="5"/>
      <c r="P48" s="9"/>
      <c r="V48" s="9"/>
    </row>
    <row r="49" spans="1:14" ht="18" customHeight="1" thickTop="1" thickBot="1" x14ac:dyDescent="0.25">
      <c r="A49" s="76"/>
      <c r="B49" s="80">
        <v>121207</v>
      </c>
      <c r="C49" s="81" t="s">
        <v>95</v>
      </c>
      <c r="D49" s="23" t="s">
        <v>10</v>
      </c>
      <c r="E49" s="77"/>
      <c r="F49" s="342">
        <v>233</v>
      </c>
      <c r="G49" s="79">
        <f t="shared" si="4"/>
        <v>0</v>
      </c>
      <c r="H49" s="48">
        <f t="shared" si="3"/>
        <v>0</v>
      </c>
      <c r="L49" s="5"/>
    </row>
    <row r="50" spans="1:14" ht="18" customHeight="1" thickTop="1" thickBot="1" x14ac:dyDescent="0.25">
      <c r="A50" s="76"/>
      <c r="B50" s="80">
        <v>121507</v>
      </c>
      <c r="C50" s="81" t="s">
        <v>96</v>
      </c>
      <c r="D50" s="23" t="s">
        <v>10</v>
      </c>
      <c r="E50" s="77"/>
      <c r="F50" s="344">
        <v>277</v>
      </c>
      <c r="G50" s="79">
        <f t="shared" si="4"/>
        <v>0</v>
      </c>
      <c r="H50" s="48">
        <f t="shared" si="3"/>
        <v>0</v>
      </c>
      <c r="L50" s="5"/>
    </row>
    <row r="51" spans="1:14" ht="18" customHeight="1" thickTop="1" thickBot="1" x14ac:dyDescent="0.25">
      <c r="A51" s="22"/>
      <c r="B51" s="80">
        <v>121907</v>
      </c>
      <c r="C51" s="81" t="s">
        <v>97</v>
      </c>
      <c r="D51" s="23" t="s">
        <v>10</v>
      </c>
      <c r="E51" s="23"/>
      <c r="F51" s="342">
        <v>339</v>
      </c>
      <c r="G51" s="366">
        <f t="shared" si="4"/>
        <v>0</v>
      </c>
      <c r="H51" s="48">
        <f t="shared" si="3"/>
        <v>0</v>
      </c>
      <c r="L51" s="5"/>
    </row>
    <row r="52" spans="1:14" ht="18" customHeight="1" thickTop="1" thickBot="1" x14ac:dyDescent="0.25">
      <c r="A52" s="358" t="s">
        <v>355</v>
      </c>
      <c r="B52" s="359"/>
      <c r="C52" s="359"/>
      <c r="D52" s="359"/>
      <c r="E52" s="359"/>
      <c r="F52" s="359"/>
      <c r="G52" s="367"/>
      <c r="H52" s="48">
        <f>H53</f>
        <v>0</v>
      </c>
      <c r="L52" s="5"/>
    </row>
    <row r="53" spans="1:14" ht="18" customHeight="1" thickTop="1" thickBot="1" x14ac:dyDescent="0.25">
      <c r="A53" s="22"/>
      <c r="B53" s="44">
        <v>360120</v>
      </c>
      <c r="C53" s="45" t="s">
        <v>350</v>
      </c>
      <c r="D53" s="46" t="s">
        <v>398</v>
      </c>
      <c r="E53" s="46"/>
      <c r="F53" s="352">
        <v>15</v>
      </c>
      <c r="G53" s="366">
        <f t="shared" ref="G53:G57" si="5">E53*F53</f>
        <v>0</v>
      </c>
      <c r="H53" s="48">
        <f t="shared" ref="H53:H57" si="6">E53</f>
        <v>0</v>
      </c>
      <c r="L53" s="5"/>
    </row>
    <row r="54" spans="1:14" ht="18" customHeight="1" thickTop="1" thickBot="1" x14ac:dyDescent="0.35">
      <c r="A54" s="159" t="s">
        <v>356</v>
      </c>
      <c r="B54" s="325"/>
      <c r="C54" s="325"/>
      <c r="D54" s="325"/>
      <c r="E54" s="185"/>
      <c r="F54" s="182"/>
      <c r="G54" s="368"/>
      <c r="H54" s="48">
        <f>H55</f>
        <v>0</v>
      </c>
      <c r="I54" s="5"/>
      <c r="J54" s="5"/>
      <c r="K54" s="5"/>
      <c r="L54" s="5"/>
      <c r="M54" s="5"/>
      <c r="N54" s="5"/>
    </row>
    <row r="55" spans="1:14" ht="18" customHeight="1" thickTop="1" thickBot="1" x14ac:dyDescent="0.25">
      <c r="A55" s="22"/>
      <c r="B55" s="44">
        <v>360140</v>
      </c>
      <c r="C55" s="45" t="s">
        <v>343</v>
      </c>
      <c r="D55" s="46" t="s">
        <v>398</v>
      </c>
      <c r="E55" s="363"/>
      <c r="F55" s="350">
        <v>15</v>
      </c>
      <c r="G55" s="366">
        <f t="shared" ref="G55" si="7">E55*F55</f>
        <v>0</v>
      </c>
      <c r="H55" s="48">
        <f t="shared" ref="H55" si="8">E55</f>
        <v>0</v>
      </c>
      <c r="I55" s="5"/>
      <c r="J55" s="5"/>
      <c r="K55" s="5"/>
      <c r="L55" s="5"/>
      <c r="M55" s="5"/>
      <c r="N55" s="5"/>
    </row>
    <row r="56" spans="1:14" ht="18" customHeight="1" thickTop="1" thickBot="1" x14ac:dyDescent="0.25">
      <c r="A56" s="22"/>
      <c r="B56" s="44">
        <v>720815</v>
      </c>
      <c r="C56" s="45" t="s">
        <v>58</v>
      </c>
      <c r="D56" s="46" t="s">
        <v>57</v>
      </c>
      <c r="E56" s="46"/>
      <c r="F56" s="350">
        <v>32</v>
      </c>
      <c r="G56" s="366">
        <f t="shared" si="5"/>
        <v>0</v>
      </c>
      <c r="H56" s="48">
        <f t="shared" si="6"/>
        <v>0</v>
      </c>
      <c r="L56" s="5"/>
    </row>
    <row r="57" spans="1:14" ht="18" customHeight="1" thickTop="1" thickBot="1" x14ac:dyDescent="0.25">
      <c r="A57" s="22"/>
      <c r="B57" s="44">
        <v>720810</v>
      </c>
      <c r="C57" s="45" t="s">
        <v>108</v>
      </c>
      <c r="D57" s="46" t="s">
        <v>10</v>
      </c>
      <c r="E57" s="46"/>
      <c r="F57" s="350">
        <v>16</v>
      </c>
      <c r="G57" s="366">
        <f t="shared" si="5"/>
        <v>0</v>
      </c>
      <c r="H57" s="48">
        <f t="shared" si="6"/>
        <v>0</v>
      </c>
      <c r="L57" s="5"/>
    </row>
    <row r="58" spans="1:14" ht="18" customHeight="1" thickTop="1" thickBot="1" x14ac:dyDescent="0.25">
      <c r="A58" s="160" t="s">
        <v>353</v>
      </c>
      <c r="B58" s="161"/>
      <c r="C58" s="161"/>
      <c r="D58" s="161"/>
      <c r="E58" s="161"/>
      <c r="F58" s="161"/>
      <c r="G58" s="18"/>
      <c r="H58" s="164">
        <f>SUM(H59:H75)</f>
        <v>0</v>
      </c>
      <c r="L58" s="5"/>
    </row>
    <row r="59" spans="1:14" ht="18" customHeight="1" thickTop="1" thickBot="1" x14ac:dyDescent="0.25">
      <c r="A59" s="22"/>
      <c r="B59" s="33">
        <v>250201</v>
      </c>
      <c r="C59" s="34" t="s">
        <v>30</v>
      </c>
      <c r="D59" s="35" t="s">
        <v>10</v>
      </c>
      <c r="E59" s="35"/>
      <c r="F59" s="350">
        <v>33</v>
      </c>
      <c r="G59" s="366">
        <f>E59*F59</f>
        <v>0</v>
      </c>
      <c r="H59" s="165">
        <f>E59</f>
        <v>0</v>
      </c>
      <c r="L59" s="5"/>
    </row>
    <row r="60" spans="1:14" ht="18" customHeight="1" thickTop="1" thickBot="1" x14ac:dyDescent="0.25">
      <c r="A60" s="22"/>
      <c r="B60" s="33">
        <v>250301</v>
      </c>
      <c r="C60" s="34" t="s">
        <v>31</v>
      </c>
      <c r="D60" s="35" t="s">
        <v>10</v>
      </c>
      <c r="E60" s="35"/>
      <c r="F60" s="350">
        <v>41</v>
      </c>
      <c r="G60" s="366">
        <f t="shared" ref="G60:G75" si="9">E60*F60</f>
        <v>0</v>
      </c>
      <c r="H60" s="165">
        <f t="shared" ref="H60:H75" si="10">E60</f>
        <v>0</v>
      </c>
      <c r="L60" s="5"/>
    </row>
    <row r="61" spans="1:14" ht="18" customHeight="1" thickTop="1" thickBot="1" x14ac:dyDescent="0.25">
      <c r="A61" s="22"/>
      <c r="B61" s="33">
        <v>250401</v>
      </c>
      <c r="C61" s="34" t="s">
        <v>32</v>
      </c>
      <c r="D61" s="35" t="s">
        <v>10</v>
      </c>
      <c r="E61" s="35"/>
      <c r="F61" s="350">
        <v>49</v>
      </c>
      <c r="G61" s="366">
        <f t="shared" si="9"/>
        <v>0</v>
      </c>
      <c r="H61" s="165">
        <f t="shared" si="10"/>
        <v>0</v>
      </c>
      <c r="L61" s="5"/>
    </row>
    <row r="62" spans="1:14" ht="18" customHeight="1" thickTop="1" thickBot="1" x14ac:dyDescent="0.25">
      <c r="A62" s="22"/>
      <c r="B62" s="33">
        <v>250501</v>
      </c>
      <c r="C62" s="34" t="s">
        <v>33</v>
      </c>
      <c r="D62" s="35" t="s">
        <v>10</v>
      </c>
      <c r="E62" s="35"/>
      <c r="F62" s="350">
        <v>56</v>
      </c>
      <c r="G62" s="366">
        <f t="shared" si="9"/>
        <v>0</v>
      </c>
      <c r="H62" s="165">
        <f t="shared" si="10"/>
        <v>0</v>
      </c>
      <c r="L62" s="5"/>
    </row>
    <row r="63" spans="1:14" ht="18" customHeight="1" thickTop="1" thickBot="1" x14ac:dyDescent="0.25">
      <c r="A63" s="22"/>
      <c r="B63" s="33">
        <v>250601</v>
      </c>
      <c r="C63" s="34" t="s">
        <v>34</v>
      </c>
      <c r="D63" s="35" t="s">
        <v>10</v>
      </c>
      <c r="E63" s="35"/>
      <c r="F63" s="350">
        <v>64</v>
      </c>
      <c r="G63" s="366">
        <f t="shared" si="9"/>
        <v>0</v>
      </c>
      <c r="H63" s="165">
        <f t="shared" si="10"/>
        <v>0</v>
      </c>
      <c r="L63" s="5"/>
    </row>
    <row r="64" spans="1:14" ht="18" customHeight="1" thickTop="1" thickBot="1" x14ac:dyDescent="0.25">
      <c r="A64" s="22"/>
      <c r="B64" s="33">
        <v>250701</v>
      </c>
      <c r="C64" s="34" t="s">
        <v>35</v>
      </c>
      <c r="D64" s="35" t="s">
        <v>10</v>
      </c>
      <c r="E64" s="35"/>
      <c r="F64" s="350">
        <v>73</v>
      </c>
      <c r="G64" s="366">
        <f t="shared" si="9"/>
        <v>0</v>
      </c>
      <c r="H64" s="165">
        <f t="shared" si="10"/>
        <v>0</v>
      </c>
      <c r="L64" s="5"/>
    </row>
    <row r="65" spans="1:12" ht="18" customHeight="1" thickTop="1" thickBot="1" x14ac:dyDescent="0.25">
      <c r="A65" s="22"/>
      <c r="B65" s="33">
        <v>250801</v>
      </c>
      <c r="C65" s="34" t="s">
        <v>36</v>
      </c>
      <c r="D65" s="35" t="s">
        <v>10</v>
      </c>
      <c r="E65" s="35"/>
      <c r="F65" s="350">
        <v>82</v>
      </c>
      <c r="G65" s="366">
        <f t="shared" si="9"/>
        <v>0</v>
      </c>
      <c r="H65" s="165">
        <f t="shared" si="10"/>
        <v>0</v>
      </c>
      <c r="L65" s="5"/>
    </row>
    <row r="66" spans="1:12" ht="18" customHeight="1" thickTop="1" thickBot="1" x14ac:dyDescent="0.25">
      <c r="A66" s="22"/>
      <c r="B66" s="33">
        <v>250901</v>
      </c>
      <c r="C66" s="34" t="s">
        <v>37</v>
      </c>
      <c r="D66" s="35" t="s">
        <v>10</v>
      </c>
      <c r="E66" s="35"/>
      <c r="F66" s="350">
        <v>88</v>
      </c>
      <c r="G66" s="366">
        <f t="shared" si="9"/>
        <v>0</v>
      </c>
      <c r="H66" s="165">
        <f t="shared" si="10"/>
        <v>0</v>
      </c>
      <c r="L66" s="5"/>
    </row>
    <row r="67" spans="1:12" ht="18" customHeight="1" thickTop="1" thickBot="1" x14ac:dyDescent="0.25">
      <c r="A67" s="22"/>
      <c r="B67" s="33">
        <v>251001</v>
      </c>
      <c r="C67" s="34" t="s">
        <v>38</v>
      </c>
      <c r="D67" s="35" t="s">
        <v>10</v>
      </c>
      <c r="E67" s="35"/>
      <c r="F67" s="350">
        <v>94</v>
      </c>
      <c r="G67" s="366">
        <f t="shared" si="9"/>
        <v>0</v>
      </c>
      <c r="H67" s="165">
        <f t="shared" si="10"/>
        <v>0</v>
      </c>
      <c r="L67" s="5"/>
    </row>
    <row r="68" spans="1:12" ht="18" customHeight="1" thickTop="1" thickBot="1" x14ac:dyDescent="0.25">
      <c r="A68" s="22"/>
      <c r="B68" s="33">
        <v>251201</v>
      </c>
      <c r="C68" s="34" t="s">
        <v>39</v>
      </c>
      <c r="D68" s="35" t="s">
        <v>10</v>
      </c>
      <c r="E68" s="35"/>
      <c r="F68" s="350">
        <v>117</v>
      </c>
      <c r="G68" s="366">
        <f t="shared" si="9"/>
        <v>0</v>
      </c>
      <c r="H68" s="165">
        <f t="shared" si="10"/>
        <v>0</v>
      </c>
      <c r="L68" s="5"/>
    </row>
    <row r="69" spans="1:12" ht="18" customHeight="1" thickTop="1" thickBot="1" x14ac:dyDescent="0.25">
      <c r="A69" s="22"/>
      <c r="B69" s="33">
        <v>251401</v>
      </c>
      <c r="C69" s="34" t="s">
        <v>40</v>
      </c>
      <c r="D69" s="35" t="s">
        <v>10</v>
      </c>
      <c r="E69" s="35"/>
      <c r="F69" s="350">
        <v>130</v>
      </c>
      <c r="G69" s="366">
        <f t="shared" si="9"/>
        <v>0</v>
      </c>
      <c r="H69" s="165">
        <f t="shared" si="10"/>
        <v>0</v>
      </c>
      <c r="L69" s="5"/>
    </row>
    <row r="70" spans="1:12" ht="18" customHeight="1" thickTop="1" thickBot="1" x14ac:dyDescent="0.25">
      <c r="A70" s="22"/>
      <c r="B70" s="33">
        <v>251601</v>
      </c>
      <c r="C70" s="34" t="s">
        <v>41</v>
      </c>
      <c r="D70" s="35" t="s">
        <v>10</v>
      </c>
      <c r="E70" s="35"/>
      <c r="F70" s="350">
        <v>157</v>
      </c>
      <c r="G70" s="366">
        <f t="shared" si="9"/>
        <v>0</v>
      </c>
      <c r="H70" s="165">
        <f t="shared" si="10"/>
        <v>0</v>
      </c>
      <c r="L70" s="5"/>
    </row>
    <row r="71" spans="1:12" ht="18" customHeight="1" thickTop="1" thickBot="1" x14ac:dyDescent="0.25">
      <c r="A71" s="22"/>
      <c r="B71" s="33">
        <v>251801</v>
      </c>
      <c r="C71" s="34" t="s">
        <v>42</v>
      </c>
      <c r="D71" s="35" t="s">
        <v>10</v>
      </c>
      <c r="E71" s="35"/>
      <c r="F71" s="350">
        <v>179</v>
      </c>
      <c r="G71" s="366">
        <f t="shared" si="9"/>
        <v>0</v>
      </c>
      <c r="H71" s="165">
        <f t="shared" si="10"/>
        <v>0</v>
      </c>
      <c r="L71" s="5"/>
    </row>
    <row r="72" spans="1:12" ht="18" customHeight="1" thickTop="1" thickBot="1" x14ac:dyDescent="0.25">
      <c r="A72" s="22"/>
      <c r="B72" s="33">
        <v>252001</v>
      </c>
      <c r="C72" s="34" t="s">
        <v>43</v>
      </c>
      <c r="D72" s="35" t="s">
        <v>10</v>
      </c>
      <c r="E72" s="35"/>
      <c r="F72" s="350">
        <v>186</v>
      </c>
      <c r="G72" s="366">
        <f t="shared" si="9"/>
        <v>0</v>
      </c>
      <c r="H72" s="165">
        <f t="shared" si="10"/>
        <v>0</v>
      </c>
      <c r="L72" s="5"/>
    </row>
    <row r="73" spans="1:12" ht="18" customHeight="1" thickTop="1" thickBot="1" x14ac:dyDescent="0.25">
      <c r="A73" s="22"/>
      <c r="B73" s="33">
        <v>252402</v>
      </c>
      <c r="C73" s="34" t="s">
        <v>44</v>
      </c>
      <c r="D73" s="35" t="s">
        <v>10</v>
      </c>
      <c r="E73" s="35"/>
      <c r="F73" s="350">
        <v>216</v>
      </c>
      <c r="G73" s="366">
        <f t="shared" si="9"/>
        <v>0</v>
      </c>
      <c r="H73" s="165">
        <f t="shared" si="10"/>
        <v>0</v>
      </c>
      <c r="L73" s="5"/>
    </row>
    <row r="74" spans="1:12" ht="18" customHeight="1" thickTop="1" thickBot="1" x14ac:dyDescent="0.25">
      <c r="A74" s="22"/>
      <c r="B74" s="33">
        <v>253002</v>
      </c>
      <c r="C74" s="34" t="s">
        <v>45</v>
      </c>
      <c r="D74" s="35" t="s">
        <v>10</v>
      </c>
      <c r="E74" s="35"/>
      <c r="F74" s="350">
        <v>272</v>
      </c>
      <c r="G74" s="366">
        <f t="shared" si="9"/>
        <v>0</v>
      </c>
      <c r="H74" s="165">
        <f t="shared" si="10"/>
        <v>0</v>
      </c>
      <c r="L74" s="5"/>
    </row>
    <row r="75" spans="1:12" ht="18" customHeight="1" thickTop="1" thickBot="1" x14ac:dyDescent="0.25">
      <c r="A75" s="22"/>
      <c r="B75" s="33">
        <v>254002</v>
      </c>
      <c r="C75" s="34" t="s">
        <v>46</v>
      </c>
      <c r="D75" s="35" t="s">
        <v>10</v>
      </c>
      <c r="E75" s="35"/>
      <c r="F75" s="350">
        <v>377</v>
      </c>
      <c r="G75" s="366">
        <f t="shared" si="9"/>
        <v>0</v>
      </c>
      <c r="H75" s="165">
        <f t="shared" si="10"/>
        <v>0</v>
      </c>
      <c r="L75" s="5"/>
    </row>
    <row r="76" spans="1:12" ht="18" customHeight="1" thickTop="1" thickBot="1" x14ac:dyDescent="0.25">
      <c r="A76" s="163" t="s">
        <v>352</v>
      </c>
      <c r="B76" s="162"/>
      <c r="C76" s="162"/>
      <c r="D76" s="162"/>
      <c r="E76" s="357"/>
      <c r="F76" s="162"/>
      <c r="G76" s="21"/>
      <c r="H76" s="164">
        <f>SUM(H77:H86)</f>
        <v>0</v>
      </c>
      <c r="L76" s="5"/>
    </row>
    <row r="77" spans="1:12" ht="18" customHeight="1" thickTop="1" thickBot="1" x14ac:dyDescent="0.25">
      <c r="A77" s="22"/>
      <c r="B77" s="37">
        <v>340100</v>
      </c>
      <c r="C77" s="38" t="s">
        <v>47</v>
      </c>
      <c r="D77" s="39" t="s">
        <v>10</v>
      </c>
      <c r="E77" s="35"/>
      <c r="F77" s="350">
        <v>36</v>
      </c>
      <c r="G77" s="366">
        <f t="shared" ref="G77:G95" si="11">E77*F77</f>
        <v>0</v>
      </c>
      <c r="H77" s="48">
        <f t="shared" ref="H77:H95" si="12">E77</f>
        <v>0</v>
      </c>
      <c r="L77" s="5"/>
    </row>
    <row r="78" spans="1:12" ht="18" customHeight="1" thickTop="1" thickBot="1" x14ac:dyDescent="0.25">
      <c r="A78" s="22"/>
      <c r="B78" s="37">
        <v>340200</v>
      </c>
      <c r="C78" s="38" t="s">
        <v>48</v>
      </c>
      <c r="D78" s="39" t="s">
        <v>10</v>
      </c>
      <c r="E78" s="35"/>
      <c r="F78" s="350">
        <v>60</v>
      </c>
      <c r="G78" s="366">
        <f t="shared" si="11"/>
        <v>0</v>
      </c>
      <c r="H78" s="48">
        <f t="shared" si="12"/>
        <v>0</v>
      </c>
      <c r="L78" s="5"/>
    </row>
    <row r="79" spans="1:12" ht="18" customHeight="1" thickTop="1" thickBot="1" x14ac:dyDescent="0.25">
      <c r="A79" s="22"/>
      <c r="B79" s="37">
        <v>340300</v>
      </c>
      <c r="C79" s="38" t="s">
        <v>49</v>
      </c>
      <c r="D79" s="39" t="s">
        <v>10</v>
      </c>
      <c r="E79" s="39"/>
      <c r="F79" s="350">
        <v>84</v>
      </c>
      <c r="G79" s="366">
        <f t="shared" si="11"/>
        <v>0</v>
      </c>
      <c r="H79" s="48">
        <f t="shared" si="12"/>
        <v>0</v>
      </c>
      <c r="L79" s="5"/>
    </row>
    <row r="80" spans="1:12" ht="18" customHeight="1" thickTop="1" thickBot="1" x14ac:dyDescent="0.25">
      <c r="A80" s="22"/>
      <c r="B80" s="37">
        <v>340400</v>
      </c>
      <c r="C80" s="38" t="s">
        <v>50</v>
      </c>
      <c r="D80" s="39" t="s">
        <v>10</v>
      </c>
      <c r="E80" s="39"/>
      <c r="F80" s="350">
        <v>110</v>
      </c>
      <c r="G80" s="366">
        <f t="shared" si="11"/>
        <v>0</v>
      </c>
      <c r="H80" s="48">
        <f t="shared" si="12"/>
        <v>0</v>
      </c>
      <c r="L80" s="5"/>
    </row>
    <row r="81" spans="1:16" ht="18" customHeight="1" thickTop="1" thickBot="1" x14ac:dyDescent="0.25">
      <c r="A81" s="22"/>
      <c r="B81" s="37">
        <v>340500</v>
      </c>
      <c r="C81" s="38" t="s">
        <v>51</v>
      </c>
      <c r="D81" s="39" t="s">
        <v>10</v>
      </c>
      <c r="E81" s="39"/>
      <c r="F81" s="350">
        <v>131</v>
      </c>
      <c r="G81" s="366">
        <f t="shared" si="11"/>
        <v>0</v>
      </c>
      <c r="H81" s="48">
        <f t="shared" si="12"/>
        <v>0</v>
      </c>
      <c r="L81" s="5"/>
    </row>
    <row r="82" spans="1:16" ht="18" customHeight="1" thickTop="1" thickBot="1" x14ac:dyDescent="0.25">
      <c r="A82" s="22"/>
      <c r="B82" s="37">
        <v>340600</v>
      </c>
      <c r="C82" s="38" t="s">
        <v>52</v>
      </c>
      <c r="D82" s="39" t="s">
        <v>10</v>
      </c>
      <c r="E82" s="39"/>
      <c r="F82" s="350">
        <v>160</v>
      </c>
      <c r="G82" s="366">
        <f t="shared" si="11"/>
        <v>0</v>
      </c>
      <c r="H82" s="48">
        <f t="shared" si="12"/>
        <v>0</v>
      </c>
      <c r="L82" s="5"/>
    </row>
    <row r="83" spans="1:16" ht="18" customHeight="1" thickTop="1" thickBot="1" x14ac:dyDescent="0.25">
      <c r="A83" s="22"/>
      <c r="B83" s="37">
        <v>340700</v>
      </c>
      <c r="C83" s="38" t="s">
        <v>53</v>
      </c>
      <c r="D83" s="39" t="s">
        <v>10</v>
      </c>
      <c r="E83" s="39"/>
      <c r="F83" s="350">
        <v>180</v>
      </c>
      <c r="G83" s="366">
        <f t="shared" si="11"/>
        <v>0</v>
      </c>
      <c r="H83" s="48">
        <f t="shared" si="12"/>
        <v>0</v>
      </c>
      <c r="L83" s="5"/>
    </row>
    <row r="84" spans="1:16" ht="18" customHeight="1" thickTop="1" thickBot="1" x14ac:dyDescent="0.25">
      <c r="A84" s="22"/>
      <c r="B84" s="37">
        <v>340800</v>
      </c>
      <c r="C84" s="38" t="s">
        <v>54</v>
      </c>
      <c r="D84" s="39" t="s">
        <v>10</v>
      </c>
      <c r="E84" s="39"/>
      <c r="F84" s="350">
        <v>192</v>
      </c>
      <c r="G84" s="366">
        <f t="shared" si="11"/>
        <v>0</v>
      </c>
      <c r="H84" s="48">
        <f t="shared" si="12"/>
        <v>0</v>
      </c>
      <c r="L84" s="5"/>
    </row>
    <row r="85" spans="1:16" ht="18" customHeight="1" thickTop="1" thickBot="1" x14ac:dyDescent="0.25">
      <c r="A85" s="22"/>
      <c r="B85" s="37">
        <v>340900</v>
      </c>
      <c r="C85" s="38" t="s">
        <v>55</v>
      </c>
      <c r="D85" s="39" t="s">
        <v>10</v>
      </c>
      <c r="E85" s="39"/>
      <c r="F85" s="350">
        <v>218</v>
      </c>
      <c r="G85" s="366">
        <f t="shared" si="11"/>
        <v>0</v>
      </c>
      <c r="H85" s="48">
        <f t="shared" si="12"/>
        <v>0</v>
      </c>
      <c r="L85" s="5"/>
    </row>
    <row r="86" spans="1:16" ht="18" customHeight="1" thickTop="1" thickBot="1" x14ac:dyDescent="0.25">
      <c r="A86" s="22"/>
      <c r="B86" s="37">
        <v>341000</v>
      </c>
      <c r="C86" s="38" t="s">
        <v>56</v>
      </c>
      <c r="D86" s="39" t="s">
        <v>10</v>
      </c>
      <c r="E86" s="39"/>
      <c r="F86" s="350">
        <v>244</v>
      </c>
      <c r="G86" s="366">
        <f t="shared" si="11"/>
        <v>0</v>
      </c>
      <c r="H86" s="48">
        <f t="shared" si="12"/>
        <v>0</v>
      </c>
      <c r="L86" s="5"/>
    </row>
    <row r="87" spans="1:16" ht="18" customHeight="1" thickTop="1" thickBot="1" x14ac:dyDescent="0.25">
      <c r="A87" s="295" t="s">
        <v>263</v>
      </c>
      <c r="B87" s="296"/>
      <c r="C87" s="296"/>
      <c r="D87" s="296"/>
      <c r="E87" s="364"/>
      <c r="F87" s="296"/>
      <c r="G87" s="369"/>
      <c r="H87" s="164">
        <f>SUM(H88:H95)</f>
        <v>0</v>
      </c>
      <c r="L87" s="5"/>
    </row>
    <row r="88" spans="1:16" ht="18" customHeight="1" thickTop="1" thickBot="1" x14ac:dyDescent="0.35">
      <c r="A88" s="236"/>
      <c r="B88" s="239">
        <v>310035</v>
      </c>
      <c r="C88" s="238" t="s">
        <v>265</v>
      </c>
      <c r="D88" s="237" t="s">
        <v>264</v>
      </c>
      <c r="E88" s="22"/>
      <c r="F88" s="352">
        <v>31</v>
      </c>
      <c r="G88" s="366">
        <f t="shared" si="11"/>
        <v>0</v>
      </c>
      <c r="H88" s="48">
        <f t="shared" si="12"/>
        <v>0</v>
      </c>
      <c r="L88" s="5"/>
    </row>
    <row r="89" spans="1:16" ht="18" customHeight="1" thickTop="1" thickBot="1" x14ac:dyDescent="0.35">
      <c r="A89" s="236"/>
      <c r="B89" s="239">
        <v>310029</v>
      </c>
      <c r="C89" s="238" t="s">
        <v>257</v>
      </c>
      <c r="D89" s="237" t="s">
        <v>264</v>
      </c>
      <c r="E89" s="22"/>
      <c r="F89" s="352">
        <v>24</v>
      </c>
      <c r="G89" s="366">
        <f t="shared" si="11"/>
        <v>0</v>
      </c>
      <c r="H89" s="48">
        <f t="shared" si="12"/>
        <v>0</v>
      </c>
      <c r="L89" s="5"/>
    </row>
    <row r="90" spans="1:16" ht="18" customHeight="1" thickTop="1" thickBot="1" x14ac:dyDescent="0.35">
      <c r="A90" s="236"/>
      <c r="B90" s="239">
        <v>310050</v>
      </c>
      <c r="C90" s="238" t="s">
        <v>258</v>
      </c>
      <c r="D90" s="237" t="s">
        <v>264</v>
      </c>
      <c r="E90" s="22"/>
      <c r="F90" s="352">
        <v>32</v>
      </c>
      <c r="G90" s="366">
        <f t="shared" si="11"/>
        <v>0</v>
      </c>
      <c r="H90" s="48">
        <f t="shared" si="12"/>
        <v>0</v>
      </c>
      <c r="L90" s="5"/>
    </row>
    <row r="91" spans="1:16" ht="18" customHeight="1" thickTop="1" thickBot="1" x14ac:dyDescent="0.35">
      <c r="A91" s="236"/>
      <c r="B91" s="239">
        <v>310058</v>
      </c>
      <c r="C91" s="238" t="s">
        <v>259</v>
      </c>
      <c r="D91" s="237" t="s">
        <v>264</v>
      </c>
      <c r="E91" s="22"/>
      <c r="F91" s="352">
        <v>32</v>
      </c>
      <c r="G91" s="366">
        <f t="shared" si="11"/>
        <v>0</v>
      </c>
      <c r="H91" s="48">
        <f t="shared" si="12"/>
        <v>0</v>
      </c>
      <c r="L91" s="5"/>
    </row>
    <row r="92" spans="1:16" ht="18" customHeight="1" thickTop="1" thickBot="1" x14ac:dyDescent="0.35">
      <c r="A92" s="236"/>
      <c r="B92" s="239">
        <v>310055</v>
      </c>
      <c r="C92" s="238" t="s">
        <v>260</v>
      </c>
      <c r="D92" s="237" t="s">
        <v>264</v>
      </c>
      <c r="E92" s="22"/>
      <c r="F92" s="352">
        <v>36</v>
      </c>
      <c r="G92" s="366">
        <f t="shared" si="11"/>
        <v>0</v>
      </c>
      <c r="H92" s="48">
        <f t="shared" si="12"/>
        <v>0</v>
      </c>
      <c r="L92" s="5"/>
    </row>
    <row r="93" spans="1:16" ht="18" customHeight="1" thickTop="1" thickBot="1" x14ac:dyDescent="0.35">
      <c r="A93" s="236"/>
      <c r="B93" s="239">
        <v>310075</v>
      </c>
      <c r="C93" s="238" t="s">
        <v>261</v>
      </c>
      <c r="D93" s="237" t="s">
        <v>264</v>
      </c>
      <c r="E93" s="22"/>
      <c r="F93" s="352">
        <v>43</v>
      </c>
      <c r="G93" s="366">
        <f t="shared" si="11"/>
        <v>0</v>
      </c>
      <c r="H93" s="48">
        <f t="shared" si="12"/>
        <v>0</v>
      </c>
      <c r="L93" s="5"/>
    </row>
    <row r="94" spans="1:16" ht="18" customHeight="1" thickTop="1" thickBot="1" x14ac:dyDescent="0.35">
      <c r="A94" s="236"/>
      <c r="B94" s="239">
        <v>310085</v>
      </c>
      <c r="C94" s="238" t="s">
        <v>262</v>
      </c>
      <c r="D94" s="237" t="s">
        <v>264</v>
      </c>
      <c r="E94" s="22"/>
      <c r="F94" s="352">
        <v>44</v>
      </c>
      <c r="G94" s="366">
        <f t="shared" si="11"/>
        <v>0</v>
      </c>
      <c r="H94" s="48">
        <f t="shared" si="12"/>
        <v>0</v>
      </c>
      <c r="L94" s="5"/>
    </row>
    <row r="95" spans="1:16" ht="18" customHeight="1" thickTop="1" thickBot="1" x14ac:dyDescent="0.35">
      <c r="A95" s="236"/>
      <c r="B95" s="239">
        <v>310110</v>
      </c>
      <c r="C95" s="238" t="s">
        <v>397</v>
      </c>
      <c r="D95" s="237" t="s">
        <v>264</v>
      </c>
      <c r="E95" s="22"/>
      <c r="F95" s="352">
        <v>51</v>
      </c>
      <c r="G95" s="366">
        <f t="shared" si="11"/>
        <v>0</v>
      </c>
      <c r="H95" s="48">
        <f t="shared" si="12"/>
        <v>0</v>
      </c>
      <c r="L95" s="5"/>
    </row>
    <row r="96" spans="1:16" ht="18" customHeight="1" thickTop="1" thickBot="1" x14ac:dyDescent="0.25">
      <c r="A96" s="292" t="s">
        <v>354</v>
      </c>
      <c r="B96" s="293"/>
      <c r="C96" s="293"/>
      <c r="D96" s="293"/>
      <c r="E96" s="365"/>
      <c r="F96" s="293"/>
      <c r="G96" s="15"/>
      <c r="H96" s="48">
        <f>H97+H98</f>
        <v>0</v>
      </c>
      <c r="L96" s="5"/>
      <c r="P96" s="5"/>
    </row>
    <row r="97" spans="1:16" ht="28.05" customHeight="1" thickTop="1" thickBot="1" x14ac:dyDescent="0.25">
      <c r="A97" s="22"/>
      <c r="B97" s="23">
        <v>430010</v>
      </c>
      <c r="C97" s="83" t="s">
        <v>99</v>
      </c>
      <c r="D97" s="23" t="s">
        <v>10</v>
      </c>
      <c r="E97" s="23"/>
      <c r="F97" s="350">
        <v>151</v>
      </c>
      <c r="G97" s="366">
        <f t="shared" ref="G97:G98" si="13">E97*F97</f>
        <v>0</v>
      </c>
      <c r="H97" s="48">
        <f t="shared" ref="H97:H98" si="14">E97</f>
        <v>0</v>
      </c>
      <c r="L97" s="5"/>
      <c r="M97" s="48"/>
      <c r="P97" s="5"/>
    </row>
    <row r="98" spans="1:16" ht="18" customHeight="1" thickTop="1" thickBot="1" x14ac:dyDescent="0.25">
      <c r="A98" s="22"/>
      <c r="B98" s="23">
        <v>430030</v>
      </c>
      <c r="C98" s="83" t="s">
        <v>393</v>
      </c>
      <c r="D98" s="23" t="s">
        <v>10</v>
      </c>
      <c r="E98" s="23"/>
      <c r="F98" s="352">
        <v>85</v>
      </c>
      <c r="G98" s="366">
        <f t="shared" si="13"/>
        <v>0</v>
      </c>
      <c r="H98" s="48">
        <f t="shared" si="14"/>
        <v>0</v>
      </c>
      <c r="M98" s="353" t="s">
        <v>64</v>
      </c>
      <c r="P98" s="5"/>
    </row>
    <row r="99" spans="1:16" ht="18" customHeight="1" thickTop="1" thickBot="1" x14ac:dyDescent="0.25">
      <c r="A99" s="292" t="s">
        <v>296</v>
      </c>
      <c r="B99" s="294"/>
      <c r="C99" s="294"/>
      <c r="D99" s="291"/>
      <c r="E99" s="291"/>
      <c r="F99" s="291"/>
      <c r="G99" s="15"/>
      <c r="H99" s="48">
        <f>SUM(H100:H106)</f>
        <v>0</v>
      </c>
      <c r="L99" s="5"/>
      <c r="M99" s="48"/>
      <c r="P99" s="5"/>
    </row>
    <row r="100" spans="1:16" ht="18" customHeight="1" thickTop="1" thickBot="1" x14ac:dyDescent="0.25">
      <c r="A100" s="84"/>
      <c r="B100" s="86">
        <v>131030</v>
      </c>
      <c r="C100" s="52" t="s">
        <v>191</v>
      </c>
      <c r="D100" s="85" t="s">
        <v>10</v>
      </c>
      <c r="E100" s="77"/>
      <c r="F100" s="352">
        <v>62</v>
      </c>
      <c r="G100" s="366">
        <f t="shared" ref="G100:G106" si="15">E100*F100</f>
        <v>0</v>
      </c>
      <c r="H100" s="48">
        <f t="shared" ref="H100:H106" si="16">E100</f>
        <v>0</v>
      </c>
      <c r="L100" s="5"/>
      <c r="M100" s="48"/>
      <c r="P100" s="5"/>
    </row>
    <row r="101" spans="1:16" ht="18" customHeight="1" thickTop="1" thickBot="1" x14ac:dyDescent="0.25">
      <c r="A101" s="84"/>
      <c r="B101" s="86">
        <v>131050</v>
      </c>
      <c r="C101" s="52" t="s">
        <v>196</v>
      </c>
      <c r="D101" s="85" t="s">
        <v>10</v>
      </c>
      <c r="E101" s="77"/>
      <c r="F101" s="352">
        <v>92</v>
      </c>
      <c r="G101" s="366">
        <f t="shared" si="15"/>
        <v>0</v>
      </c>
      <c r="H101" s="48">
        <f t="shared" si="16"/>
        <v>0</v>
      </c>
      <c r="L101" s="5"/>
      <c r="M101" s="48"/>
      <c r="P101" s="5"/>
    </row>
    <row r="102" spans="1:16" ht="18" customHeight="1" thickTop="1" thickBot="1" x14ac:dyDescent="0.25">
      <c r="A102" s="84"/>
      <c r="B102" s="86">
        <v>131080</v>
      </c>
      <c r="C102" s="52" t="s">
        <v>195</v>
      </c>
      <c r="D102" s="85" t="s">
        <v>10</v>
      </c>
      <c r="E102" s="77"/>
      <c r="F102" s="352">
        <v>147</v>
      </c>
      <c r="G102" s="366">
        <f t="shared" si="15"/>
        <v>0</v>
      </c>
      <c r="H102" s="48">
        <f t="shared" si="16"/>
        <v>0</v>
      </c>
      <c r="L102" s="5"/>
      <c r="M102" s="48"/>
      <c r="P102" s="5"/>
    </row>
    <row r="103" spans="1:16" ht="18" customHeight="1" thickTop="1" thickBot="1" x14ac:dyDescent="0.25">
      <c r="A103" s="84"/>
      <c r="B103" s="86">
        <v>131100</v>
      </c>
      <c r="C103" s="52" t="s">
        <v>194</v>
      </c>
      <c r="D103" s="85" t="s">
        <v>10</v>
      </c>
      <c r="E103" s="77"/>
      <c r="F103" s="352">
        <v>190</v>
      </c>
      <c r="G103" s="366">
        <f t="shared" si="15"/>
        <v>0</v>
      </c>
      <c r="H103" s="48">
        <f t="shared" si="16"/>
        <v>0</v>
      </c>
      <c r="L103" s="5"/>
      <c r="M103" s="48"/>
      <c r="P103" s="5"/>
    </row>
    <row r="104" spans="1:16" ht="18" customHeight="1" thickTop="1" thickBot="1" x14ac:dyDescent="0.25">
      <c r="A104" s="84"/>
      <c r="B104" s="86">
        <v>131120</v>
      </c>
      <c r="C104" s="52" t="s">
        <v>193</v>
      </c>
      <c r="D104" s="85" t="s">
        <v>10</v>
      </c>
      <c r="E104" s="77"/>
      <c r="F104" s="352">
        <v>216</v>
      </c>
      <c r="G104" s="366">
        <f t="shared" si="15"/>
        <v>0</v>
      </c>
      <c r="H104" s="48">
        <f t="shared" si="16"/>
        <v>0</v>
      </c>
      <c r="L104" s="5"/>
      <c r="M104" s="48"/>
      <c r="P104" s="5"/>
    </row>
    <row r="105" spans="1:16" ht="18" customHeight="1" thickTop="1" thickBot="1" x14ac:dyDescent="0.25">
      <c r="A105" s="84"/>
      <c r="B105" s="86">
        <v>131150</v>
      </c>
      <c r="C105" s="82" t="s">
        <v>192</v>
      </c>
      <c r="D105" s="85" t="s">
        <v>10</v>
      </c>
      <c r="E105" s="77"/>
      <c r="F105" s="352">
        <v>250</v>
      </c>
      <c r="G105" s="366">
        <f t="shared" si="15"/>
        <v>0</v>
      </c>
      <c r="H105" s="48">
        <f t="shared" si="16"/>
        <v>0</v>
      </c>
      <c r="L105" s="5"/>
      <c r="M105" s="48"/>
      <c r="P105" s="5"/>
    </row>
    <row r="106" spans="1:16" ht="18" customHeight="1" thickTop="1" thickBot="1" x14ac:dyDescent="0.25">
      <c r="A106" s="84"/>
      <c r="B106" s="86">
        <v>131190</v>
      </c>
      <c r="C106" s="82" t="s">
        <v>197</v>
      </c>
      <c r="D106" s="85" t="s">
        <v>10</v>
      </c>
      <c r="E106" s="77"/>
      <c r="F106" s="352">
        <v>298</v>
      </c>
      <c r="G106" s="366">
        <f t="shared" si="15"/>
        <v>0</v>
      </c>
      <c r="H106" s="48">
        <f t="shared" si="16"/>
        <v>0</v>
      </c>
      <c r="L106" s="5"/>
      <c r="M106" s="48"/>
      <c r="P106" s="5"/>
    </row>
    <row r="107" spans="1:16" ht="18" customHeight="1" thickTop="1" thickBot="1" x14ac:dyDescent="0.25">
      <c r="A107" s="292" t="s">
        <v>297</v>
      </c>
      <c r="B107" s="294"/>
      <c r="C107" s="294"/>
      <c r="D107" s="291"/>
      <c r="E107" s="291"/>
      <c r="F107" s="291"/>
      <c r="G107" s="15"/>
      <c r="H107" s="48">
        <f>SUM(H108:H114)</f>
        <v>0</v>
      </c>
      <c r="L107" s="5"/>
      <c r="M107" s="48"/>
      <c r="O107" s="9"/>
      <c r="P107" s="5"/>
    </row>
    <row r="108" spans="1:16" ht="18" customHeight="1" thickTop="1" thickBot="1" x14ac:dyDescent="0.25">
      <c r="A108" s="84"/>
      <c r="B108" s="86">
        <v>136018</v>
      </c>
      <c r="C108" s="52" t="s">
        <v>289</v>
      </c>
      <c r="D108" s="85" t="s">
        <v>10</v>
      </c>
      <c r="E108" s="77"/>
      <c r="F108" s="330"/>
      <c r="G108" s="366">
        <f t="shared" ref="G108:G114" si="17">E108*F108</f>
        <v>0</v>
      </c>
      <c r="H108" s="48">
        <f t="shared" ref="H108:H114" si="18">E108</f>
        <v>0</v>
      </c>
      <c r="L108" s="5"/>
      <c r="M108" s="48"/>
      <c r="P108" s="5"/>
    </row>
    <row r="109" spans="1:16" ht="18" customHeight="1" thickTop="1" thickBot="1" x14ac:dyDescent="0.25">
      <c r="A109" s="84"/>
      <c r="B109" s="86">
        <v>136030</v>
      </c>
      <c r="C109" s="52" t="s">
        <v>290</v>
      </c>
      <c r="D109" s="85" t="s">
        <v>10</v>
      </c>
      <c r="E109" s="77"/>
      <c r="F109" s="330"/>
      <c r="G109" s="366">
        <f t="shared" si="17"/>
        <v>0</v>
      </c>
      <c r="H109" s="48">
        <f t="shared" si="18"/>
        <v>0</v>
      </c>
      <c r="L109" s="5"/>
      <c r="M109" s="48"/>
      <c r="P109" s="5"/>
    </row>
    <row r="110" spans="1:16" ht="18" customHeight="1" thickTop="1" thickBot="1" x14ac:dyDescent="0.25">
      <c r="A110" s="84"/>
      <c r="B110" s="86">
        <v>136048</v>
      </c>
      <c r="C110" s="52" t="s">
        <v>291</v>
      </c>
      <c r="D110" s="85" t="s">
        <v>10</v>
      </c>
      <c r="E110" s="77"/>
      <c r="F110" s="330"/>
      <c r="G110" s="366">
        <f t="shared" si="17"/>
        <v>0</v>
      </c>
      <c r="H110" s="48">
        <f t="shared" si="18"/>
        <v>0</v>
      </c>
      <c r="L110" s="5"/>
      <c r="M110" s="48"/>
      <c r="P110" s="5"/>
    </row>
    <row r="111" spans="1:16" ht="18" customHeight="1" thickTop="1" thickBot="1" x14ac:dyDescent="0.25">
      <c r="A111" s="84"/>
      <c r="B111" s="86">
        <v>136060</v>
      </c>
      <c r="C111" s="52" t="s">
        <v>292</v>
      </c>
      <c r="D111" s="85" t="s">
        <v>10</v>
      </c>
      <c r="E111" s="77"/>
      <c r="F111" s="330"/>
      <c r="G111" s="366">
        <f t="shared" si="17"/>
        <v>0</v>
      </c>
      <c r="H111" s="48">
        <f t="shared" si="18"/>
        <v>0</v>
      </c>
      <c r="L111" s="5"/>
      <c r="M111" s="48"/>
      <c r="P111" s="5"/>
    </row>
    <row r="112" spans="1:16" ht="18" customHeight="1" thickTop="1" thickBot="1" x14ac:dyDescent="0.25">
      <c r="A112" s="84"/>
      <c r="B112" s="86">
        <v>136072</v>
      </c>
      <c r="C112" s="52" t="s">
        <v>293</v>
      </c>
      <c r="D112" s="85" t="s">
        <v>10</v>
      </c>
      <c r="E112" s="77"/>
      <c r="F112" s="330"/>
      <c r="G112" s="366">
        <f t="shared" si="17"/>
        <v>0</v>
      </c>
      <c r="H112" s="48">
        <f t="shared" si="18"/>
        <v>0</v>
      </c>
      <c r="L112" s="5"/>
      <c r="M112" s="48"/>
      <c r="P112" s="5"/>
    </row>
    <row r="113" spans="1:16" ht="18" customHeight="1" thickTop="1" thickBot="1" x14ac:dyDescent="0.25">
      <c r="A113" s="84"/>
      <c r="B113" s="86">
        <v>136090</v>
      </c>
      <c r="C113" s="82" t="s">
        <v>294</v>
      </c>
      <c r="D113" s="85" t="s">
        <v>10</v>
      </c>
      <c r="E113" s="77"/>
      <c r="F113" s="330"/>
      <c r="G113" s="366">
        <f t="shared" si="17"/>
        <v>0</v>
      </c>
      <c r="H113" s="48">
        <f t="shared" si="18"/>
        <v>0</v>
      </c>
      <c r="L113" s="5"/>
      <c r="M113" s="48"/>
      <c r="P113" s="5"/>
    </row>
    <row r="114" spans="1:16" ht="18" customHeight="1" thickTop="1" thickBot="1" x14ac:dyDescent="0.25">
      <c r="A114" s="84"/>
      <c r="B114" s="86">
        <v>136140</v>
      </c>
      <c r="C114" s="82" t="s">
        <v>295</v>
      </c>
      <c r="D114" s="85" t="s">
        <v>10</v>
      </c>
      <c r="E114" s="77"/>
      <c r="F114" s="330"/>
      <c r="G114" s="366">
        <f t="shared" si="17"/>
        <v>0</v>
      </c>
      <c r="H114" s="48">
        <f t="shared" si="18"/>
        <v>0</v>
      </c>
      <c r="L114" s="5"/>
      <c r="M114" s="48"/>
      <c r="P114" s="5"/>
    </row>
    <row r="115" spans="1:16" ht="18" customHeight="1" thickTop="1" thickBot="1" x14ac:dyDescent="0.25">
      <c r="A115" s="160" t="s">
        <v>401</v>
      </c>
      <c r="B115" s="161"/>
      <c r="C115" s="161"/>
      <c r="D115" s="161"/>
      <c r="E115" s="161"/>
      <c r="F115" s="161"/>
      <c r="G115" s="18"/>
      <c r="H115" s="164">
        <f>SUM(H116:H132)</f>
        <v>0</v>
      </c>
      <c r="L115" s="5"/>
    </row>
    <row r="116" spans="1:16" ht="18" customHeight="1" thickTop="1" thickBot="1" x14ac:dyDescent="0.25">
      <c r="A116" s="22"/>
      <c r="B116" s="33">
        <v>442001</v>
      </c>
      <c r="C116" s="361" t="s">
        <v>418</v>
      </c>
      <c r="D116" s="35" t="s">
        <v>10</v>
      </c>
      <c r="E116" s="35"/>
      <c r="F116" s="350">
        <v>35</v>
      </c>
      <c r="G116" s="366">
        <f>E116*F116</f>
        <v>0</v>
      </c>
      <c r="H116" s="165">
        <f>E116</f>
        <v>0</v>
      </c>
      <c r="L116" s="5"/>
    </row>
    <row r="117" spans="1:16" ht="18" customHeight="1" thickTop="1" thickBot="1" x14ac:dyDescent="0.25">
      <c r="A117" s="22"/>
      <c r="B117" s="33">
        <v>442000</v>
      </c>
      <c r="C117" s="360" t="s">
        <v>417</v>
      </c>
      <c r="D117" s="35" t="s">
        <v>10</v>
      </c>
      <c r="E117" s="35"/>
      <c r="F117" s="350">
        <v>45</v>
      </c>
      <c r="G117" s="366">
        <f t="shared" ref="G117:G132" si="19">E117*F117</f>
        <v>0</v>
      </c>
      <c r="H117" s="165">
        <f t="shared" ref="H117:H132" si="20">E117</f>
        <v>0</v>
      </c>
      <c r="L117" s="5"/>
    </row>
    <row r="118" spans="1:16" ht="28.05" customHeight="1" thickTop="1" thickBot="1" x14ac:dyDescent="0.25">
      <c r="A118" s="22"/>
      <c r="B118" s="33">
        <v>110150</v>
      </c>
      <c r="C118" s="66" t="s">
        <v>402</v>
      </c>
      <c r="D118" s="35" t="s">
        <v>10</v>
      </c>
      <c r="E118" s="35"/>
      <c r="F118" s="350">
        <v>24.9</v>
      </c>
      <c r="G118" s="366">
        <f t="shared" si="19"/>
        <v>0</v>
      </c>
      <c r="H118" s="165">
        <f t="shared" si="20"/>
        <v>0</v>
      </c>
      <c r="L118" s="5"/>
    </row>
    <row r="119" spans="1:16" ht="28.05" customHeight="1" thickTop="1" thickBot="1" x14ac:dyDescent="0.25">
      <c r="A119" s="22"/>
      <c r="B119" s="33">
        <v>110225</v>
      </c>
      <c r="C119" s="66" t="s">
        <v>403</v>
      </c>
      <c r="D119" s="35" t="s">
        <v>10</v>
      </c>
      <c r="E119" s="35"/>
      <c r="F119" s="350">
        <v>30.1</v>
      </c>
      <c r="G119" s="366">
        <f t="shared" si="19"/>
        <v>0</v>
      </c>
      <c r="H119" s="165">
        <f t="shared" si="20"/>
        <v>0</v>
      </c>
      <c r="L119" s="5"/>
    </row>
    <row r="120" spans="1:16" ht="28.05" customHeight="1" thickTop="1" thickBot="1" x14ac:dyDescent="0.25">
      <c r="A120" s="22"/>
      <c r="B120" s="33">
        <v>110300</v>
      </c>
      <c r="C120" s="66" t="s">
        <v>404</v>
      </c>
      <c r="D120" s="35" t="s">
        <v>10</v>
      </c>
      <c r="E120" s="35"/>
      <c r="F120" s="350">
        <v>34.85</v>
      </c>
      <c r="G120" s="366">
        <f t="shared" si="19"/>
        <v>0</v>
      </c>
      <c r="H120" s="165">
        <f t="shared" si="20"/>
        <v>0</v>
      </c>
      <c r="L120" s="5"/>
    </row>
    <row r="121" spans="1:16" ht="28.05" customHeight="1" thickTop="1" thickBot="1" x14ac:dyDescent="0.25">
      <c r="A121" s="22"/>
      <c r="B121" s="33">
        <v>110375</v>
      </c>
      <c r="C121" s="66" t="s">
        <v>405</v>
      </c>
      <c r="D121" s="35" t="s">
        <v>10</v>
      </c>
      <c r="E121" s="35"/>
      <c r="F121" s="350">
        <v>41.95</v>
      </c>
      <c r="G121" s="366">
        <f t="shared" si="19"/>
        <v>0</v>
      </c>
      <c r="H121" s="165">
        <f t="shared" si="20"/>
        <v>0</v>
      </c>
      <c r="L121" s="5"/>
    </row>
    <row r="122" spans="1:16" ht="28.05" customHeight="1" thickTop="1" thickBot="1" x14ac:dyDescent="0.25">
      <c r="A122" s="22"/>
      <c r="B122" s="33">
        <v>110450</v>
      </c>
      <c r="C122" s="66" t="s">
        <v>406</v>
      </c>
      <c r="D122" s="35" t="s">
        <v>10</v>
      </c>
      <c r="E122" s="35"/>
      <c r="F122" s="350">
        <v>47.3</v>
      </c>
      <c r="G122" s="366">
        <f t="shared" si="19"/>
        <v>0</v>
      </c>
      <c r="H122" s="165">
        <f t="shared" si="20"/>
        <v>0</v>
      </c>
      <c r="L122" s="5"/>
    </row>
    <row r="123" spans="1:16" ht="28.05" customHeight="1" thickTop="1" thickBot="1" x14ac:dyDescent="0.25">
      <c r="A123" s="22"/>
      <c r="B123" s="33">
        <v>110525</v>
      </c>
      <c r="C123" s="66" t="s">
        <v>407</v>
      </c>
      <c r="D123" s="35" t="s">
        <v>10</v>
      </c>
      <c r="E123" s="35"/>
      <c r="F123" s="350">
        <v>54.4</v>
      </c>
      <c r="G123" s="366">
        <f t="shared" si="19"/>
        <v>0</v>
      </c>
      <c r="H123" s="165">
        <f t="shared" si="20"/>
        <v>0</v>
      </c>
      <c r="L123" s="5"/>
    </row>
    <row r="124" spans="1:16" ht="28.05" customHeight="1" thickTop="1" thickBot="1" x14ac:dyDescent="0.25">
      <c r="A124" s="22"/>
      <c r="B124" s="33">
        <v>110600</v>
      </c>
      <c r="C124" s="66" t="s">
        <v>408</v>
      </c>
      <c r="D124" s="35" t="s">
        <v>10</v>
      </c>
      <c r="E124" s="35"/>
      <c r="F124" s="350">
        <v>62.8</v>
      </c>
      <c r="G124" s="366">
        <f t="shared" si="19"/>
        <v>0</v>
      </c>
      <c r="H124" s="165">
        <f t="shared" si="20"/>
        <v>0</v>
      </c>
      <c r="L124" s="5"/>
    </row>
    <row r="125" spans="1:16" ht="28.05" customHeight="1" thickTop="1" thickBot="1" x14ac:dyDescent="0.25">
      <c r="A125" s="22"/>
      <c r="B125" s="33">
        <v>110675</v>
      </c>
      <c r="C125" s="66" t="s">
        <v>409</v>
      </c>
      <c r="D125" s="35" t="s">
        <v>10</v>
      </c>
      <c r="E125" s="35"/>
      <c r="F125" s="350">
        <v>76.349999999999994</v>
      </c>
      <c r="G125" s="366">
        <f t="shared" si="19"/>
        <v>0</v>
      </c>
      <c r="H125" s="165">
        <f t="shared" si="20"/>
        <v>0</v>
      </c>
      <c r="L125" s="5"/>
    </row>
    <row r="126" spans="1:16" ht="28.05" customHeight="1" thickTop="1" thickBot="1" x14ac:dyDescent="0.25">
      <c r="A126" s="22"/>
      <c r="B126" s="33">
        <v>110750</v>
      </c>
      <c r="C126" s="66" t="s">
        <v>410</v>
      </c>
      <c r="D126" s="35" t="s">
        <v>10</v>
      </c>
      <c r="E126" s="35"/>
      <c r="F126" s="350">
        <v>87.25</v>
      </c>
      <c r="G126" s="366">
        <f t="shared" si="19"/>
        <v>0</v>
      </c>
      <c r="H126" s="165">
        <f t="shared" si="20"/>
        <v>0</v>
      </c>
      <c r="L126" s="5"/>
    </row>
    <row r="127" spans="1:16" ht="28.05" customHeight="1" thickTop="1" thickBot="1" x14ac:dyDescent="0.25">
      <c r="A127" s="22"/>
      <c r="B127" s="33">
        <v>110900</v>
      </c>
      <c r="C127" s="66" t="s">
        <v>411</v>
      </c>
      <c r="D127" s="35" t="s">
        <v>10</v>
      </c>
      <c r="E127" s="35"/>
      <c r="F127" s="350">
        <v>108.9</v>
      </c>
      <c r="G127" s="366">
        <f t="shared" si="19"/>
        <v>0</v>
      </c>
      <c r="H127" s="165">
        <f t="shared" si="20"/>
        <v>0</v>
      </c>
      <c r="L127" s="5"/>
    </row>
    <row r="128" spans="1:16" ht="28.05" customHeight="1" thickTop="1" thickBot="1" x14ac:dyDescent="0.25">
      <c r="A128" s="22"/>
      <c r="B128" s="33">
        <v>111050</v>
      </c>
      <c r="C128" s="66" t="s">
        <v>412</v>
      </c>
      <c r="D128" s="35" t="s">
        <v>10</v>
      </c>
      <c r="E128" s="35"/>
      <c r="F128" s="350">
        <v>117.45</v>
      </c>
      <c r="G128" s="366">
        <f t="shared" si="19"/>
        <v>0</v>
      </c>
      <c r="H128" s="165">
        <f t="shared" si="20"/>
        <v>0</v>
      </c>
      <c r="L128" s="5"/>
    </row>
    <row r="129" spans="1:13" ht="28.05" customHeight="1" thickTop="1" thickBot="1" x14ac:dyDescent="0.25">
      <c r="A129" s="22"/>
      <c r="B129" s="33">
        <v>111200</v>
      </c>
      <c r="C129" s="66" t="s">
        <v>413</v>
      </c>
      <c r="D129" s="35" t="s">
        <v>10</v>
      </c>
      <c r="E129" s="35"/>
      <c r="F129" s="350">
        <v>129.6</v>
      </c>
      <c r="G129" s="366">
        <f t="shared" si="19"/>
        <v>0</v>
      </c>
      <c r="H129" s="165">
        <f t="shared" si="20"/>
        <v>0</v>
      </c>
      <c r="L129" s="5"/>
    </row>
    <row r="130" spans="1:13" ht="28.05" customHeight="1" thickTop="1" thickBot="1" x14ac:dyDescent="0.25">
      <c r="A130" s="22"/>
      <c r="B130" s="33">
        <v>111500</v>
      </c>
      <c r="C130" s="66" t="s">
        <v>414</v>
      </c>
      <c r="D130" s="35" t="s">
        <v>10</v>
      </c>
      <c r="E130" s="35"/>
      <c r="F130" s="350">
        <v>169.65</v>
      </c>
      <c r="G130" s="366">
        <f t="shared" si="19"/>
        <v>0</v>
      </c>
      <c r="H130" s="165">
        <f t="shared" si="20"/>
        <v>0</v>
      </c>
      <c r="L130" s="5"/>
    </row>
    <row r="131" spans="1:13" ht="28.05" customHeight="1" thickTop="1" thickBot="1" x14ac:dyDescent="0.25">
      <c r="A131" s="22"/>
      <c r="B131" s="33">
        <v>111800</v>
      </c>
      <c r="C131" s="66" t="s">
        <v>415</v>
      </c>
      <c r="D131" s="35" t="s">
        <v>10</v>
      </c>
      <c r="E131" s="35"/>
      <c r="F131" s="350">
        <v>208.8</v>
      </c>
      <c r="G131" s="366">
        <f t="shared" si="19"/>
        <v>0</v>
      </c>
      <c r="H131" s="165">
        <f t="shared" si="20"/>
        <v>0</v>
      </c>
      <c r="L131" s="5"/>
    </row>
    <row r="132" spans="1:13" ht="28.05" customHeight="1" thickTop="1" thickBot="1" x14ac:dyDescent="0.25">
      <c r="A132" s="22"/>
      <c r="B132" s="33">
        <v>112250</v>
      </c>
      <c r="C132" s="66" t="s">
        <v>416</v>
      </c>
      <c r="D132" s="35" t="s">
        <v>10</v>
      </c>
      <c r="E132" s="35"/>
      <c r="F132" s="350">
        <v>274.39999999999998</v>
      </c>
      <c r="G132" s="366">
        <f t="shared" si="19"/>
        <v>0</v>
      </c>
      <c r="H132" s="165">
        <f t="shared" si="20"/>
        <v>0</v>
      </c>
      <c r="L132" s="5"/>
    </row>
    <row r="133" spans="1:13" ht="18" customHeight="1" thickTop="1" thickBot="1" x14ac:dyDescent="0.25">
      <c r="A133" s="292" t="s">
        <v>112</v>
      </c>
      <c r="B133" s="293"/>
      <c r="C133" s="293"/>
      <c r="D133" s="293"/>
      <c r="E133" s="365"/>
      <c r="F133" s="293"/>
      <c r="G133" s="15"/>
      <c r="H133" s="164">
        <f>SUM(H134:H135)</f>
        <v>0</v>
      </c>
      <c r="L133" s="5"/>
      <c r="M133" s="48"/>
    </row>
    <row r="134" spans="1:13" ht="18" customHeight="1" thickTop="1" thickBot="1" x14ac:dyDescent="0.25">
      <c r="A134" s="76"/>
      <c r="B134" s="77">
        <v>600331</v>
      </c>
      <c r="C134" s="78" t="s">
        <v>113</v>
      </c>
      <c r="D134" s="77" t="s">
        <v>10</v>
      </c>
      <c r="E134" s="77"/>
      <c r="F134" s="350">
        <v>141</v>
      </c>
      <c r="G134" s="79">
        <f t="shared" ref="G134:G138" si="21">E134*F134</f>
        <v>0</v>
      </c>
      <c r="H134" s="48">
        <f t="shared" ref="H134:H138" si="22">E134</f>
        <v>0</v>
      </c>
      <c r="J134" s="227"/>
      <c r="L134" s="5"/>
      <c r="M134" s="48"/>
    </row>
    <row r="135" spans="1:13" ht="18" customHeight="1" thickTop="1" thickBot="1" x14ac:dyDescent="0.25">
      <c r="A135" s="76"/>
      <c r="B135" s="77">
        <v>600661</v>
      </c>
      <c r="C135" s="78" t="s">
        <v>211</v>
      </c>
      <c r="D135" s="77" t="s">
        <v>10</v>
      </c>
      <c r="E135" s="77"/>
      <c r="F135" s="350">
        <v>211</v>
      </c>
      <c r="G135" s="79">
        <f t="shared" si="21"/>
        <v>0</v>
      </c>
      <c r="H135" s="48">
        <f t="shared" si="22"/>
        <v>0</v>
      </c>
      <c r="L135" s="5"/>
      <c r="M135" s="48"/>
    </row>
    <row r="136" spans="1:13" ht="20.100000000000001" customHeight="1" thickTop="1" thickBot="1" x14ac:dyDescent="0.25">
      <c r="A136" s="292" t="s">
        <v>210</v>
      </c>
      <c r="B136" s="293"/>
      <c r="C136" s="293"/>
      <c r="D136" s="293"/>
      <c r="E136" s="365"/>
      <c r="F136" s="293"/>
      <c r="G136" s="15"/>
      <c r="H136" s="48">
        <f>SUM(H137:H138)</f>
        <v>0</v>
      </c>
      <c r="L136" s="5"/>
    </row>
    <row r="137" spans="1:13" ht="18" customHeight="1" thickTop="1" thickBot="1" x14ac:dyDescent="0.25">
      <c r="A137" s="76"/>
      <c r="B137" s="80">
        <v>610331</v>
      </c>
      <c r="C137" s="78" t="s">
        <v>212</v>
      </c>
      <c r="D137" s="23" t="s">
        <v>10</v>
      </c>
      <c r="E137" s="77"/>
      <c r="F137" s="330"/>
      <c r="G137" s="79">
        <f t="shared" si="21"/>
        <v>0</v>
      </c>
      <c r="H137" s="48">
        <f t="shared" si="22"/>
        <v>0</v>
      </c>
      <c r="L137" s="5"/>
    </row>
    <row r="138" spans="1:13" ht="18" customHeight="1" thickTop="1" thickBot="1" x14ac:dyDescent="0.25">
      <c r="A138" s="76"/>
      <c r="B138" s="80">
        <v>610751</v>
      </c>
      <c r="C138" s="78" t="s">
        <v>213</v>
      </c>
      <c r="D138" s="23" t="s">
        <v>10</v>
      </c>
      <c r="E138" s="77"/>
      <c r="F138" s="331"/>
      <c r="G138" s="79">
        <f t="shared" si="21"/>
        <v>0</v>
      </c>
      <c r="H138" s="48">
        <f t="shared" si="22"/>
        <v>0</v>
      </c>
      <c r="L138" s="5"/>
    </row>
    <row r="139" spans="1:13" ht="18" customHeight="1" thickTop="1" thickBot="1" x14ac:dyDescent="0.25">
      <c r="A139" s="159" t="s">
        <v>70</v>
      </c>
      <c r="B139" s="162"/>
      <c r="C139" s="162"/>
      <c r="D139" s="162"/>
      <c r="E139" s="357"/>
      <c r="F139" s="162"/>
      <c r="G139" s="370"/>
      <c r="H139" s="164">
        <f>SUM(H140:H157)</f>
        <v>0</v>
      </c>
      <c r="L139" s="5"/>
    </row>
    <row r="140" spans="1:13" ht="27.9" customHeight="1" thickTop="1" thickBot="1" x14ac:dyDescent="0.25">
      <c r="A140" s="22"/>
      <c r="B140" s="22">
        <v>825400</v>
      </c>
      <c r="C140" s="66" t="s">
        <v>376</v>
      </c>
      <c r="D140" s="22" t="s">
        <v>10</v>
      </c>
      <c r="E140" s="22"/>
      <c r="F140" s="352">
        <v>102</v>
      </c>
      <c r="G140" s="366">
        <f t="shared" ref="G140:G146" si="23">E140*F140</f>
        <v>0</v>
      </c>
      <c r="H140" s="283">
        <f>E140</f>
        <v>0</v>
      </c>
      <c r="L140" s="5"/>
      <c r="M140" s="310"/>
    </row>
    <row r="141" spans="1:13" ht="27.9" customHeight="1" thickTop="1" thickBot="1" x14ac:dyDescent="0.25">
      <c r="A141" s="22"/>
      <c r="B141" s="22">
        <v>825880</v>
      </c>
      <c r="C141" s="66" t="s">
        <v>103</v>
      </c>
      <c r="D141" s="22" t="s">
        <v>10</v>
      </c>
      <c r="E141" s="22"/>
      <c r="F141" s="352">
        <v>92</v>
      </c>
      <c r="G141" s="366">
        <f t="shared" si="23"/>
        <v>0</v>
      </c>
      <c r="H141" s="283">
        <f t="shared" ref="H141:H157" si="24">E141</f>
        <v>0</v>
      </c>
      <c r="L141" s="5"/>
      <c r="M141" s="190"/>
    </row>
    <row r="142" spans="1:13" ht="27.9" customHeight="1" thickTop="1" thickBot="1" x14ac:dyDescent="0.25">
      <c r="A142" s="22"/>
      <c r="B142" s="22">
        <v>825870</v>
      </c>
      <c r="C142" s="66" t="s">
        <v>367</v>
      </c>
      <c r="D142" s="22" t="s">
        <v>10</v>
      </c>
      <c r="E142" s="22"/>
      <c r="F142" s="352">
        <v>84</v>
      </c>
      <c r="G142" s="366">
        <f t="shared" si="23"/>
        <v>0</v>
      </c>
      <c r="H142" s="283">
        <f t="shared" si="24"/>
        <v>0</v>
      </c>
      <c r="L142" s="5"/>
      <c r="M142" s="190"/>
    </row>
    <row r="143" spans="1:13" ht="27.9" customHeight="1" thickTop="1" thickBot="1" x14ac:dyDescent="0.25">
      <c r="A143" s="22"/>
      <c r="B143" s="26">
        <v>825840</v>
      </c>
      <c r="C143" s="29" t="s">
        <v>327</v>
      </c>
      <c r="D143" s="30" t="s">
        <v>10</v>
      </c>
      <c r="E143" s="30"/>
      <c r="F143" s="352">
        <v>45</v>
      </c>
      <c r="G143" s="371">
        <f t="shared" si="23"/>
        <v>0</v>
      </c>
      <c r="H143" s="283">
        <f t="shared" si="24"/>
        <v>0</v>
      </c>
      <c r="L143" s="5"/>
    </row>
    <row r="144" spans="1:13" ht="27.9" customHeight="1" thickTop="1" thickBot="1" x14ac:dyDescent="0.25">
      <c r="A144" s="22"/>
      <c r="B144" s="26">
        <v>827000</v>
      </c>
      <c r="C144" s="27" t="s">
        <v>365</v>
      </c>
      <c r="D144" s="28" t="s">
        <v>10</v>
      </c>
      <c r="E144" s="30"/>
      <c r="F144" s="352">
        <v>25</v>
      </c>
      <c r="G144" s="371">
        <f t="shared" si="23"/>
        <v>0</v>
      </c>
      <c r="H144" s="283">
        <f t="shared" si="24"/>
        <v>0</v>
      </c>
      <c r="L144" s="5"/>
    </row>
    <row r="145" spans="1:12" ht="27.9" customHeight="1" thickTop="1" thickBot="1" x14ac:dyDescent="0.25">
      <c r="A145" s="22"/>
      <c r="B145" s="26">
        <v>838101</v>
      </c>
      <c r="C145" s="29" t="s">
        <v>59</v>
      </c>
      <c r="D145" s="30" t="s">
        <v>10</v>
      </c>
      <c r="E145" s="30"/>
      <c r="F145" s="352">
        <v>26</v>
      </c>
      <c r="G145" s="371">
        <f t="shared" si="23"/>
        <v>0</v>
      </c>
      <c r="H145" s="283">
        <f t="shared" si="24"/>
        <v>0</v>
      </c>
      <c r="L145" s="5"/>
    </row>
    <row r="146" spans="1:12" ht="18" customHeight="1" thickTop="1" thickBot="1" x14ac:dyDescent="0.25">
      <c r="A146" s="22"/>
      <c r="B146" s="26">
        <v>860199</v>
      </c>
      <c r="C146" s="29" t="s">
        <v>328</v>
      </c>
      <c r="D146" s="30" t="s">
        <v>10</v>
      </c>
      <c r="E146" s="30"/>
      <c r="F146" s="352">
        <v>13</v>
      </c>
      <c r="G146" s="79">
        <f t="shared" si="23"/>
        <v>0</v>
      </c>
      <c r="H146" s="283">
        <f t="shared" si="24"/>
        <v>0</v>
      </c>
      <c r="L146" s="5"/>
    </row>
    <row r="147" spans="1:12" ht="27.9" customHeight="1" thickTop="1" thickBot="1" x14ac:dyDescent="0.25">
      <c r="A147" s="93"/>
      <c r="B147" s="96">
        <v>630112</v>
      </c>
      <c r="C147" s="95" t="s">
        <v>400</v>
      </c>
      <c r="D147" s="94" t="s">
        <v>10</v>
      </c>
      <c r="E147" s="40"/>
      <c r="F147" s="352">
        <v>81</v>
      </c>
      <c r="G147" s="366">
        <f t="shared" ref="G147:G148" si="25">E147*F147</f>
        <v>0</v>
      </c>
      <c r="H147" s="283">
        <f t="shared" si="24"/>
        <v>0</v>
      </c>
      <c r="L147" s="5"/>
    </row>
    <row r="148" spans="1:12" ht="27.9" customHeight="1" thickTop="1" thickBot="1" x14ac:dyDescent="0.25">
      <c r="A148" s="93"/>
      <c r="B148" s="96">
        <v>630113</v>
      </c>
      <c r="C148" s="95" t="s">
        <v>399</v>
      </c>
      <c r="D148" s="94" t="s">
        <v>10</v>
      </c>
      <c r="E148" s="40"/>
      <c r="F148" s="352">
        <v>123</v>
      </c>
      <c r="G148" s="366">
        <f t="shared" si="25"/>
        <v>0</v>
      </c>
      <c r="H148" s="283">
        <f t="shared" si="24"/>
        <v>0</v>
      </c>
      <c r="L148" s="5"/>
    </row>
    <row r="149" spans="1:12" ht="18" customHeight="1" thickTop="1" thickBot="1" x14ac:dyDescent="0.25">
      <c r="A149" s="22"/>
      <c r="B149" s="41">
        <v>720807</v>
      </c>
      <c r="C149" s="47" t="s">
        <v>419</v>
      </c>
      <c r="D149" s="40" t="s">
        <v>57</v>
      </c>
      <c r="E149" s="40"/>
      <c r="F149" s="352">
        <v>7.2</v>
      </c>
      <c r="G149" s="366">
        <f t="shared" ref="G149:G157" si="26">E149*F149</f>
        <v>0</v>
      </c>
      <c r="H149" s="283">
        <f t="shared" si="24"/>
        <v>0</v>
      </c>
      <c r="L149" s="5"/>
    </row>
    <row r="150" spans="1:12" ht="18" customHeight="1" thickTop="1" thickBot="1" x14ac:dyDescent="0.25">
      <c r="A150" s="22"/>
      <c r="B150" s="41">
        <v>730300</v>
      </c>
      <c r="C150" s="42" t="s">
        <v>105</v>
      </c>
      <c r="D150" s="43" t="s">
        <v>57</v>
      </c>
      <c r="E150" s="43"/>
      <c r="F150" s="352">
        <v>28</v>
      </c>
      <c r="G150" s="366">
        <f t="shared" si="26"/>
        <v>0</v>
      </c>
      <c r="H150" s="283">
        <f t="shared" si="24"/>
        <v>0</v>
      </c>
      <c r="L150" s="5"/>
    </row>
    <row r="151" spans="1:12" ht="16.5" customHeight="1" thickTop="1" thickBot="1" x14ac:dyDescent="0.25">
      <c r="A151" s="107"/>
      <c r="B151" s="107">
        <v>92252</v>
      </c>
      <c r="C151" s="25" t="s">
        <v>135</v>
      </c>
      <c r="D151" s="108" t="s">
        <v>28</v>
      </c>
      <c r="E151" s="107"/>
      <c r="F151" s="349">
        <v>71</v>
      </c>
      <c r="G151" s="371">
        <f t="shared" si="26"/>
        <v>0</v>
      </c>
      <c r="H151" s="48">
        <f t="shared" si="24"/>
        <v>0</v>
      </c>
    </row>
    <row r="152" spans="1:12" ht="16.5" customHeight="1" thickTop="1" thickBot="1" x14ac:dyDescent="0.25">
      <c r="A152" s="107"/>
      <c r="B152" s="107" t="s">
        <v>318</v>
      </c>
      <c r="C152" s="25" t="s">
        <v>319</v>
      </c>
      <c r="D152" s="108" t="s">
        <v>28</v>
      </c>
      <c r="E152" s="107"/>
      <c r="F152" s="349">
        <v>50</v>
      </c>
      <c r="G152" s="371">
        <f t="shared" si="26"/>
        <v>0</v>
      </c>
      <c r="H152" s="48">
        <f t="shared" si="24"/>
        <v>0</v>
      </c>
    </row>
    <row r="153" spans="1:12" ht="16.5" customHeight="1" thickTop="1" thickBot="1" x14ac:dyDescent="0.25">
      <c r="A153" s="107"/>
      <c r="B153" s="107" t="s">
        <v>374</v>
      </c>
      <c r="C153" s="25" t="s">
        <v>375</v>
      </c>
      <c r="D153" s="108" t="s">
        <v>28</v>
      </c>
      <c r="E153" s="107"/>
      <c r="F153" s="349">
        <v>119</v>
      </c>
      <c r="G153" s="371">
        <f t="shared" si="26"/>
        <v>0</v>
      </c>
      <c r="H153" s="48">
        <f t="shared" si="24"/>
        <v>0</v>
      </c>
    </row>
    <row r="154" spans="1:12" ht="16.5" customHeight="1" thickTop="1" thickBot="1" x14ac:dyDescent="0.25">
      <c r="A154" s="107"/>
      <c r="B154" s="107" t="s">
        <v>320</v>
      </c>
      <c r="C154" s="25" t="s">
        <v>133</v>
      </c>
      <c r="D154" s="108" t="s">
        <v>28</v>
      </c>
      <c r="E154" s="107"/>
      <c r="F154" s="349">
        <v>11</v>
      </c>
      <c r="G154" s="371">
        <f t="shared" si="26"/>
        <v>0</v>
      </c>
      <c r="H154" s="48">
        <f t="shared" si="24"/>
        <v>0</v>
      </c>
      <c r="I154" s="56"/>
    </row>
    <row r="155" spans="1:12" ht="16.5" customHeight="1" thickTop="1" thickBot="1" x14ac:dyDescent="0.25">
      <c r="A155" s="107"/>
      <c r="B155" s="107" t="s">
        <v>384</v>
      </c>
      <c r="C155" s="25" t="s">
        <v>385</v>
      </c>
      <c r="D155" s="108" t="s">
        <v>28</v>
      </c>
      <c r="E155" s="107"/>
      <c r="F155" s="349">
        <v>6</v>
      </c>
      <c r="G155" s="371">
        <f t="shared" si="26"/>
        <v>0</v>
      </c>
      <c r="H155" s="48">
        <f t="shared" si="24"/>
        <v>0</v>
      </c>
      <c r="I155" s="56"/>
    </row>
    <row r="156" spans="1:12" ht="16.5" customHeight="1" thickTop="1" thickBot="1" x14ac:dyDescent="0.25">
      <c r="A156" s="31"/>
      <c r="B156" s="60">
        <v>720310</v>
      </c>
      <c r="C156" s="61" t="s">
        <v>72</v>
      </c>
      <c r="D156" s="60" t="s">
        <v>28</v>
      </c>
      <c r="E156" s="109"/>
      <c r="F156" s="348">
        <v>17</v>
      </c>
      <c r="G156" s="371">
        <f t="shared" si="26"/>
        <v>0</v>
      </c>
      <c r="H156" s="48">
        <f t="shared" si="24"/>
        <v>0</v>
      </c>
    </row>
    <row r="157" spans="1:12" ht="16.5" customHeight="1" thickTop="1" thickBot="1" x14ac:dyDescent="0.25">
      <c r="A157" s="31"/>
      <c r="B157" s="60">
        <v>720200</v>
      </c>
      <c r="C157" s="61" t="s">
        <v>386</v>
      </c>
      <c r="D157" s="60" t="s">
        <v>28</v>
      </c>
      <c r="E157" s="109"/>
      <c r="F157" s="348">
        <v>5</v>
      </c>
      <c r="G157" s="371">
        <f t="shared" si="26"/>
        <v>0</v>
      </c>
      <c r="H157" s="48">
        <f t="shared" si="24"/>
        <v>0</v>
      </c>
    </row>
    <row r="158" spans="1:12" ht="18" customHeight="1" thickTop="1" thickBot="1" x14ac:dyDescent="0.25">
      <c r="A158" s="390" t="s">
        <v>16</v>
      </c>
      <c r="B158" s="391"/>
      <c r="C158" s="391"/>
      <c r="D158" s="391"/>
      <c r="E158" s="391"/>
      <c r="F158" s="392"/>
      <c r="G158" s="88">
        <f>SUM(G19:G157)</f>
        <v>0</v>
      </c>
    </row>
    <row r="159" spans="1:12" ht="18" customHeight="1" thickTop="1" thickBot="1" x14ac:dyDescent="0.25">
      <c r="A159" s="69">
        <v>0.05</v>
      </c>
      <c r="B159" s="391" t="s">
        <v>67</v>
      </c>
      <c r="C159" s="391"/>
      <c r="D159" s="391"/>
      <c r="E159" s="391"/>
      <c r="F159" s="392"/>
      <c r="G159" s="89">
        <f>G158*(1-A159)</f>
        <v>0</v>
      </c>
    </row>
    <row r="160" spans="1:12" ht="15.6" thickTop="1" thickBot="1" x14ac:dyDescent="0.25">
      <c r="A160" s="53" t="s">
        <v>17</v>
      </c>
      <c r="B160" s="54"/>
      <c r="C160" s="54"/>
      <c r="D160" s="54"/>
      <c r="E160" s="54"/>
      <c r="F160" s="54"/>
      <c r="G160" s="89">
        <f>G159*1.21</f>
        <v>0</v>
      </c>
    </row>
    <row r="161" spans="1:11" ht="12" thickTop="1" x14ac:dyDescent="0.2"/>
    <row r="162" spans="1:11" ht="15" customHeight="1" x14ac:dyDescent="0.2"/>
    <row r="163" spans="1:11" ht="15" customHeight="1" x14ac:dyDescent="0.2"/>
    <row r="164" spans="1:11" ht="15" customHeight="1" x14ac:dyDescent="0.2"/>
    <row r="166" spans="1:11" ht="16.5" customHeight="1" x14ac:dyDescent="0.2">
      <c r="A166" s="389" t="s">
        <v>18</v>
      </c>
      <c r="B166" s="389"/>
      <c r="C166" s="389"/>
      <c r="D166" s="389"/>
      <c r="E166" s="389"/>
      <c r="F166" s="389"/>
      <c r="G166" s="389"/>
    </row>
    <row r="167" spans="1:11" ht="24" customHeight="1" x14ac:dyDescent="0.2">
      <c r="A167" s="404" t="s">
        <v>61</v>
      </c>
      <c r="B167" s="404"/>
      <c r="C167" s="404"/>
      <c r="D167" s="404"/>
      <c r="E167" s="404"/>
      <c r="F167" s="404"/>
      <c r="G167" s="404"/>
    </row>
    <row r="168" spans="1:11" ht="8.25" customHeight="1" x14ac:dyDescent="0.3">
      <c r="A168" s="101"/>
      <c r="B168" s="49"/>
      <c r="C168" s="49"/>
      <c r="D168" s="49"/>
      <c r="E168" s="49"/>
      <c r="F168" s="49"/>
      <c r="G168" s="49"/>
    </row>
    <row r="169" spans="1:11" s="227" customFormat="1" ht="14.25" customHeight="1" x14ac:dyDescent="0.2">
      <c r="A169" s="1" t="s">
        <v>19</v>
      </c>
      <c r="B169" s="101"/>
      <c r="C169" s="101"/>
      <c r="D169" s="101"/>
      <c r="E169" s="101"/>
      <c r="F169" s="101"/>
      <c r="G169" s="101"/>
      <c r="I169" s="6"/>
      <c r="J169" s="6"/>
      <c r="K169" s="6"/>
    </row>
    <row r="170" spans="1:11" s="227" customFormat="1" ht="14.25" customHeight="1" x14ac:dyDescent="0.2">
      <c r="A170" s="448" t="s">
        <v>20</v>
      </c>
      <c r="B170" s="448"/>
      <c r="C170" s="448"/>
      <c r="D170" s="448"/>
      <c r="E170" s="448"/>
      <c r="F170" s="448"/>
      <c r="G170" s="448"/>
      <c r="I170" s="6"/>
      <c r="J170" s="6"/>
      <c r="K170" s="6"/>
    </row>
    <row r="171" spans="1:11" s="227" customFormat="1" ht="15" customHeight="1" x14ac:dyDescent="0.2">
      <c r="A171" s="448" t="s">
        <v>21</v>
      </c>
      <c r="B171" s="448"/>
      <c r="C171" s="448"/>
      <c r="D171" s="448"/>
      <c r="E171" s="448"/>
      <c r="F171" s="448"/>
      <c r="G171" s="448"/>
      <c r="I171" s="6"/>
      <c r="J171" s="6"/>
      <c r="K171" s="6"/>
    </row>
    <row r="172" spans="1:11" s="227" customFormat="1" ht="14.25" customHeight="1" x14ac:dyDescent="0.2">
      <c r="A172" s="448" t="s">
        <v>22</v>
      </c>
      <c r="B172" s="448"/>
      <c r="C172" s="448"/>
      <c r="D172" s="448"/>
      <c r="E172" s="448"/>
      <c r="F172" s="448"/>
      <c r="G172" s="448"/>
      <c r="I172" s="6"/>
      <c r="J172" s="6"/>
      <c r="K172" s="6"/>
    </row>
    <row r="174" spans="1:11" x14ac:dyDescent="0.2">
      <c r="B174" s="1" t="s">
        <v>11</v>
      </c>
      <c r="C174" s="2"/>
    </row>
    <row r="175" spans="1:11" ht="14.4" x14ac:dyDescent="0.2">
      <c r="B175" s="373"/>
      <c r="C175" s="374"/>
    </row>
    <row r="176" spans="1:11" ht="14.4" x14ac:dyDescent="0.2">
      <c r="B176" s="373"/>
      <c r="C176" s="374"/>
    </row>
    <row r="177" spans="2:3" ht="14.4" x14ac:dyDescent="0.3">
      <c r="B177" s="418"/>
      <c r="C177" s="409"/>
    </row>
    <row r="178" spans="2:3" x14ac:dyDescent="0.2">
      <c r="B178" s="7" t="s">
        <v>12</v>
      </c>
    </row>
    <row r="179" spans="2:3" x14ac:dyDescent="0.2">
      <c r="B179" s="7"/>
    </row>
  </sheetData>
  <autoFilter ref="H17:H160" xr:uid="{00000000-0009-0000-0000-000000000000}"/>
  <mergeCells count="25">
    <mergeCell ref="B177:C177"/>
    <mergeCell ref="A171:G171"/>
    <mergeCell ref="A172:G172"/>
    <mergeCell ref="B175:C175"/>
    <mergeCell ref="B176:C176"/>
    <mergeCell ref="A9:C9"/>
    <mergeCell ref="A10:F10"/>
    <mergeCell ref="A11:F11"/>
    <mergeCell ref="A15:G15"/>
    <mergeCell ref="B16:B17"/>
    <mergeCell ref="C16:C17"/>
    <mergeCell ref="D16:D17"/>
    <mergeCell ref="E16:E17"/>
    <mergeCell ref="A8:C8"/>
    <mergeCell ref="C1:G1"/>
    <mergeCell ref="A2:C2"/>
    <mergeCell ref="A5:C5"/>
    <mergeCell ref="A6:C6"/>
    <mergeCell ref="A7:C7"/>
    <mergeCell ref="A4:C4"/>
    <mergeCell ref="B159:F159"/>
    <mergeCell ref="A158:F158"/>
    <mergeCell ref="A170:G170"/>
    <mergeCell ref="A167:G167"/>
    <mergeCell ref="A166:G166"/>
  </mergeCells>
  <hyperlinks>
    <hyperlink ref="B178" r:id="rId1" xr:uid="{7A8532E3-FF05-4227-AE38-43F5B92BA0A3}"/>
  </hyperlinks>
  <pageMargins left="0.70866141732283505" right="0.23622047244094499" top="1.14173228346457" bottom="1.0629910323709499" header="0.19684930008748899" footer="0.15748031496063"/>
  <pageSetup paperSize="9" scale="85" orientation="portrait" r:id="rId2"/>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3"/>
  <legacy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4D2D2-2563-4EB6-A5C3-44688A9BFCD1}">
  <sheetPr codeName="Foaie2">
    <tabColor rgb="FFFFC000"/>
  </sheetPr>
  <dimension ref="A1:R97"/>
  <sheetViews>
    <sheetView zoomScaleNormal="100" zoomScaleSheetLayoutView="100" workbookViewId="0">
      <selection activeCell="L3" sqref="L3"/>
    </sheetView>
  </sheetViews>
  <sheetFormatPr defaultColWidth="9.109375" defaultRowHeight="11.4" x14ac:dyDescent="0.2"/>
  <cols>
    <col min="1" max="1" width="5.88671875" style="6" customWidth="1"/>
    <col min="2" max="2" width="8.33203125" style="6" customWidth="1"/>
    <col min="3" max="3" width="58.21875" style="6" customWidth="1"/>
    <col min="4" max="4" width="5.88671875" style="6" customWidth="1"/>
    <col min="5" max="5" width="6.5546875" style="6" customWidth="1"/>
    <col min="6" max="6" width="12.5546875" style="6" customWidth="1"/>
    <col min="7" max="7" width="12" style="6" customWidth="1"/>
    <col min="8" max="8" width="4.6640625" style="6" customWidth="1"/>
    <col min="9" max="9" width="8.88671875" style="6" customWidth="1"/>
    <col min="10" max="10" width="13.44140625" style="6" customWidth="1"/>
    <col min="11" max="11" width="9.109375" style="6" customWidth="1"/>
    <col min="12" max="12" width="11" style="6" customWidth="1"/>
    <col min="13" max="14" width="7.88671875" style="6" customWidth="1"/>
    <col min="15" max="15" width="9.109375" style="6" customWidth="1"/>
    <col min="16" max="17" width="9" style="6" customWidth="1"/>
    <col min="18" max="16384" width="9.109375" style="6"/>
  </cols>
  <sheetData>
    <row r="1" spans="1:17" ht="132.75" customHeight="1" x14ac:dyDescent="0.2">
      <c r="C1" s="405" t="s">
        <v>383</v>
      </c>
      <c r="D1" s="405"/>
      <c r="E1" s="405"/>
      <c r="F1" s="405"/>
      <c r="G1" s="405"/>
      <c r="H1" s="10"/>
      <c r="I1" s="10"/>
      <c r="J1" s="10"/>
      <c r="K1" s="10"/>
    </row>
    <row r="2" spans="1:17" ht="14.4" x14ac:dyDescent="0.3">
      <c r="A2" s="408" t="s">
        <v>420</v>
      </c>
      <c r="B2" s="409"/>
      <c r="C2" s="409"/>
    </row>
    <row r="3" spans="1:17" x14ac:dyDescent="0.2">
      <c r="A3" s="2"/>
    </row>
    <row r="4" spans="1:17" ht="14.4" x14ac:dyDescent="0.3">
      <c r="A4" s="419" t="s">
        <v>149</v>
      </c>
      <c r="B4" s="409"/>
      <c r="C4" s="409"/>
    </row>
    <row r="5" spans="1:17" ht="14.4" x14ac:dyDescent="0.3">
      <c r="A5" s="419" t="s">
        <v>379</v>
      </c>
      <c r="B5" s="409"/>
      <c r="C5" s="409"/>
    </row>
    <row r="6" spans="1:17" ht="14.4" x14ac:dyDescent="0.3">
      <c r="A6" s="419" t="s">
        <v>15</v>
      </c>
      <c r="B6" s="409"/>
      <c r="C6" s="409"/>
    </row>
    <row r="7" spans="1:17" ht="14.4" x14ac:dyDescent="0.3">
      <c r="A7" s="420" t="s">
        <v>13</v>
      </c>
      <c r="B7" s="421"/>
      <c r="C7" s="421"/>
    </row>
    <row r="8" spans="1:17" ht="14.4" x14ac:dyDescent="0.3">
      <c r="A8" s="419" t="s">
        <v>136</v>
      </c>
      <c r="B8" s="409"/>
      <c r="C8" s="409"/>
    </row>
    <row r="10" spans="1:17" ht="26.25" customHeight="1" thickBot="1" x14ac:dyDescent="0.25">
      <c r="A10" s="406" t="s">
        <v>0</v>
      </c>
      <c r="B10" s="406"/>
      <c r="C10" s="406"/>
      <c r="D10" s="406"/>
      <c r="E10" s="406"/>
      <c r="F10" s="406"/>
      <c r="G10" s="12" t="s">
        <v>186</v>
      </c>
      <c r="H10" s="4"/>
      <c r="I10" s="4"/>
      <c r="J10" s="5"/>
      <c r="K10" s="5"/>
      <c r="L10" s="5"/>
      <c r="M10" s="5"/>
      <c r="N10" s="5"/>
      <c r="O10" s="5"/>
      <c r="P10" s="5"/>
    </row>
    <row r="11" spans="1:17" ht="28.5" customHeight="1" thickTop="1" thickBot="1" x14ac:dyDescent="0.25">
      <c r="A11" s="406" t="s">
        <v>24</v>
      </c>
      <c r="B11" s="406"/>
      <c r="C11" s="406"/>
      <c r="D11" s="406"/>
      <c r="E11" s="406"/>
      <c r="F11" s="406"/>
      <c r="G11" s="128">
        <f>K95</f>
        <v>0</v>
      </c>
      <c r="H11" s="4"/>
      <c r="I11" s="4"/>
      <c r="J11" s="5"/>
      <c r="K11" s="5"/>
      <c r="L11" s="5"/>
      <c r="M11" s="187"/>
      <c r="N11" s="5"/>
      <c r="O11" s="5"/>
      <c r="P11" s="5"/>
    </row>
    <row r="12" spans="1:17" ht="39" customHeight="1" thickTop="1" x14ac:dyDescent="0.2">
      <c r="A12" s="4"/>
      <c r="B12" s="4"/>
      <c r="C12" s="4"/>
      <c r="D12" s="4"/>
      <c r="E12" s="4"/>
      <c r="F12" s="4"/>
      <c r="G12" s="4"/>
      <c r="H12" s="4"/>
      <c r="I12" s="4"/>
      <c r="J12" s="5"/>
      <c r="K12" s="5"/>
      <c r="L12" s="5"/>
      <c r="M12" s="187"/>
      <c r="N12" s="5"/>
      <c r="O12" s="5"/>
      <c r="P12" s="5"/>
    </row>
    <row r="13" spans="1:17" ht="39" customHeight="1" x14ac:dyDescent="0.2">
      <c r="A13" s="4"/>
      <c r="B13" s="4"/>
      <c r="C13" s="4"/>
      <c r="D13" s="4"/>
      <c r="E13" s="4"/>
      <c r="F13" s="4"/>
      <c r="G13" s="4"/>
      <c r="H13" s="4"/>
      <c r="I13" s="3"/>
      <c r="J13" s="217" t="s">
        <v>101</v>
      </c>
      <c r="K13" s="3"/>
      <c r="L13" s="12" t="s">
        <v>377</v>
      </c>
      <c r="M13" s="187"/>
      <c r="N13" s="12" t="s">
        <v>220</v>
      </c>
      <c r="O13" s="217" t="s">
        <v>100</v>
      </c>
      <c r="P13" s="97" t="s">
        <v>329</v>
      </c>
      <c r="Q13" s="97"/>
    </row>
    <row r="14" spans="1:17" ht="18" customHeight="1" x14ac:dyDescent="0.2">
      <c r="A14" s="4"/>
      <c r="B14" s="4"/>
      <c r="C14" s="12" t="s">
        <v>221</v>
      </c>
      <c r="D14" s="97"/>
      <c r="E14" s="97"/>
      <c r="F14" s="129"/>
      <c r="G14" s="129" t="s">
        <v>331</v>
      </c>
      <c r="H14" s="4"/>
      <c r="I14" s="3"/>
      <c r="J14" s="3"/>
      <c r="K14" s="9"/>
      <c r="L14" s="5"/>
      <c r="M14" s="187"/>
      <c r="N14" s="5"/>
      <c r="O14" s="5"/>
      <c r="P14" s="5"/>
    </row>
    <row r="15" spans="1:17" ht="21" x14ac:dyDescent="0.4">
      <c r="A15" s="398" t="s">
        <v>60</v>
      </c>
      <c r="B15" s="399"/>
      <c r="C15" s="399"/>
      <c r="D15" s="399"/>
      <c r="E15" s="399"/>
      <c r="F15" s="399"/>
      <c r="G15" s="399"/>
      <c r="H15" s="5"/>
      <c r="I15" s="5"/>
      <c r="J15" s="5"/>
      <c r="K15" s="5"/>
      <c r="L15" s="87"/>
      <c r="M15" s="188"/>
      <c r="N15" s="87"/>
      <c r="O15" s="3"/>
      <c r="P15" s="5"/>
    </row>
    <row r="16" spans="1:17" ht="21.6" thickBot="1" x14ac:dyDescent="0.45">
      <c r="A16" s="110"/>
      <c r="B16" s="111"/>
      <c r="C16" s="111"/>
      <c r="D16" s="111"/>
      <c r="E16" s="111"/>
      <c r="F16" s="111"/>
      <c r="G16" s="111"/>
      <c r="H16" s="5"/>
      <c r="I16" s="5"/>
      <c r="J16" s="5"/>
      <c r="K16" s="5"/>
      <c r="L16" s="87"/>
      <c r="M16" s="188"/>
      <c r="N16" s="87"/>
      <c r="O16" s="3"/>
      <c r="P16" s="5"/>
    </row>
    <row r="17" spans="1:16" ht="24.75" customHeight="1" thickTop="1" thickBot="1" x14ac:dyDescent="0.25">
      <c r="A17" s="36" t="s">
        <v>1</v>
      </c>
      <c r="B17" s="422" t="s">
        <v>3</v>
      </c>
      <c r="C17" s="422" t="s">
        <v>4</v>
      </c>
      <c r="D17" s="422" t="s">
        <v>5</v>
      </c>
      <c r="E17" s="422" t="s">
        <v>6</v>
      </c>
      <c r="F17" s="36" t="s">
        <v>7</v>
      </c>
      <c r="G17" s="36" t="s">
        <v>9</v>
      </c>
      <c r="H17" s="5"/>
      <c r="I17" s="5"/>
      <c r="J17" s="5"/>
      <c r="K17" s="5"/>
      <c r="L17" s="5"/>
      <c r="M17" s="187"/>
      <c r="N17" s="5"/>
      <c r="O17" s="5"/>
      <c r="P17" s="5"/>
    </row>
    <row r="18" spans="1:16" ht="27" customHeight="1" thickTop="1" thickBot="1" x14ac:dyDescent="0.25">
      <c r="A18" s="36" t="s">
        <v>2</v>
      </c>
      <c r="B18" s="422"/>
      <c r="C18" s="422"/>
      <c r="D18" s="422"/>
      <c r="E18" s="422"/>
      <c r="F18" s="36" t="s">
        <v>8</v>
      </c>
      <c r="G18" s="36" t="s">
        <v>8</v>
      </c>
      <c r="H18" s="281"/>
      <c r="I18" s="58"/>
      <c r="J18" s="5"/>
      <c r="K18" s="5"/>
      <c r="L18" s="141" t="s">
        <v>69</v>
      </c>
      <c r="M18" s="353" t="s">
        <v>336</v>
      </c>
      <c r="N18" s="5"/>
      <c r="O18" s="5"/>
      <c r="P18" s="5"/>
    </row>
    <row r="19" spans="1:16" ht="20.100000000000001" customHeight="1" thickTop="1" thickBot="1" x14ac:dyDescent="0.25">
      <c r="A19" s="160" t="s">
        <v>332</v>
      </c>
      <c r="B19" s="161"/>
      <c r="C19" s="161"/>
      <c r="D19" s="161"/>
      <c r="E19" s="161"/>
      <c r="F19" s="161"/>
      <c r="G19" s="18"/>
      <c r="H19" s="282">
        <f>SUM(H20:H36)</f>
        <v>0</v>
      </c>
      <c r="I19" s="12"/>
      <c r="J19" s="5"/>
      <c r="K19" s="5"/>
      <c r="L19" s="142" t="s">
        <v>63</v>
      </c>
      <c r="M19" s="142" t="s">
        <v>63</v>
      </c>
      <c r="N19" s="5"/>
      <c r="O19" s="5"/>
      <c r="P19" s="5"/>
    </row>
    <row r="20" spans="1:16" ht="16.5" customHeight="1" thickTop="1" thickBot="1" x14ac:dyDescent="0.25">
      <c r="A20" s="22"/>
      <c r="B20" s="33">
        <v>250201</v>
      </c>
      <c r="C20" s="34" t="s">
        <v>30</v>
      </c>
      <c r="D20" s="35" t="s">
        <v>10</v>
      </c>
      <c r="E20" s="140">
        <f>COUNTIF(M68:M94,1)+COUNTIF(N68:N94,1)+COUNTIF(O68:O94,1)</f>
        <v>0</v>
      </c>
      <c r="F20" s="350">
        <v>33</v>
      </c>
      <c r="G20" s="153">
        <f>E20*F20</f>
        <v>0</v>
      </c>
      <c r="H20" s="283">
        <f>E20</f>
        <v>0</v>
      </c>
      <c r="I20" s="12"/>
      <c r="J20" s="5"/>
      <c r="K20" s="5"/>
      <c r="L20" s="142">
        <f>E20*150</f>
        <v>0</v>
      </c>
      <c r="M20" s="142">
        <f>E20*150</f>
        <v>0</v>
      </c>
      <c r="N20" s="5"/>
      <c r="O20" s="5"/>
      <c r="P20" s="5"/>
    </row>
    <row r="21" spans="1:16" ht="16.5" customHeight="1" thickTop="1" thickBot="1" x14ac:dyDescent="0.25">
      <c r="A21" s="22"/>
      <c r="B21" s="33">
        <v>250301</v>
      </c>
      <c r="C21" s="34" t="s">
        <v>31</v>
      </c>
      <c r="D21" s="35" t="s">
        <v>10</v>
      </c>
      <c r="E21" s="140">
        <f>COUNTIF(M68:M94,1.5)+COUNTIF(N68:N94,1.5)+COUNTIF(O68:O94,1.5)</f>
        <v>0</v>
      </c>
      <c r="F21" s="350">
        <v>41</v>
      </c>
      <c r="G21" s="153">
        <f t="shared" ref="G21:G36" si="0">E21*F21</f>
        <v>0</v>
      </c>
      <c r="H21" s="283">
        <f t="shared" ref="H21:H36" si="1">E21</f>
        <v>0</v>
      </c>
      <c r="I21" s="12"/>
      <c r="J21" s="5"/>
      <c r="K21" s="5"/>
      <c r="L21" s="142">
        <f>E21*225</f>
        <v>0</v>
      </c>
      <c r="M21" s="142">
        <f>E21*225</f>
        <v>0</v>
      </c>
      <c r="N21" s="5"/>
      <c r="O21" s="5"/>
      <c r="P21" s="5"/>
    </row>
    <row r="22" spans="1:16" ht="16.5" customHeight="1" thickTop="1" thickBot="1" x14ac:dyDescent="0.25">
      <c r="A22" s="22"/>
      <c r="B22" s="33">
        <v>250401</v>
      </c>
      <c r="C22" s="34" t="s">
        <v>32</v>
      </c>
      <c r="D22" s="35" t="s">
        <v>10</v>
      </c>
      <c r="E22" s="140">
        <f>COUNTIF(M68:M94,2)+COUNTIF(N68:N94,2)+COUNTIF(O68:O94,2)</f>
        <v>0</v>
      </c>
      <c r="F22" s="350">
        <v>49</v>
      </c>
      <c r="G22" s="153">
        <f t="shared" si="0"/>
        <v>0</v>
      </c>
      <c r="H22" s="283">
        <f t="shared" si="1"/>
        <v>0</v>
      </c>
      <c r="I22" s="12"/>
      <c r="J22" s="5"/>
      <c r="K22" s="5"/>
      <c r="L22" s="142">
        <f>E22*300</f>
        <v>0</v>
      </c>
      <c r="M22" s="142">
        <f>E22*300</f>
        <v>0</v>
      </c>
      <c r="N22" s="5"/>
      <c r="O22" s="5"/>
      <c r="P22" s="5"/>
    </row>
    <row r="23" spans="1:16" ht="16.5" customHeight="1" thickTop="1" thickBot="1" x14ac:dyDescent="0.25">
      <c r="A23" s="22"/>
      <c r="B23" s="33">
        <v>250501</v>
      </c>
      <c r="C23" s="34" t="s">
        <v>33</v>
      </c>
      <c r="D23" s="35" t="s">
        <v>10</v>
      </c>
      <c r="E23" s="140">
        <f>COUNTIF(M68:M94,2.5)+COUNTIF(N68:N94,2.5)+COUNTIF(O68:O94,2.5)</f>
        <v>0</v>
      </c>
      <c r="F23" s="350">
        <v>56</v>
      </c>
      <c r="G23" s="153">
        <f t="shared" si="0"/>
        <v>0</v>
      </c>
      <c r="H23" s="283">
        <f t="shared" si="1"/>
        <v>0</v>
      </c>
      <c r="I23" s="12"/>
      <c r="J23" s="5"/>
      <c r="K23" s="5"/>
      <c r="L23" s="142">
        <f>E23*375</f>
        <v>0</v>
      </c>
      <c r="M23" s="142">
        <f>E23*375</f>
        <v>0</v>
      </c>
      <c r="N23" s="5"/>
      <c r="O23" s="5"/>
      <c r="P23" s="5"/>
    </row>
    <row r="24" spans="1:16" ht="16.5" customHeight="1" thickTop="1" thickBot="1" x14ac:dyDescent="0.25">
      <c r="A24" s="22"/>
      <c r="B24" s="33">
        <v>250601</v>
      </c>
      <c r="C24" s="34" t="s">
        <v>34</v>
      </c>
      <c r="D24" s="35" t="s">
        <v>10</v>
      </c>
      <c r="E24" s="140">
        <f>COUNTIF(M68:M94,3)+COUNTIF(N68:N94,3)+COUNTIF(O68:O94,3)</f>
        <v>0</v>
      </c>
      <c r="F24" s="350">
        <v>64</v>
      </c>
      <c r="G24" s="153">
        <f t="shared" si="0"/>
        <v>0</v>
      </c>
      <c r="H24" s="283">
        <f t="shared" si="1"/>
        <v>0</v>
      </c>
      <c r="I24" s="12"/>
      <c r="J24" s="5"/>
      <c r="K24" s="5"/>
      <c r="L24" s="142">
        <f>E24*450</f>
        <v>0</v>
      </c>
      <c r="M24" s="142">
        <f>E24*450</f>
        <v>0</v>
      </c>
      <c r="N24" s="5"/>
      <c r="O24" s="5"/>
      <c r="P24" s="5"/>
    </row>
    <row r="25" spans="1:16" ht="16.5" customHeight="1" thickTop="1" thickBot="1" x14ac:dyDescent="0.25">
      <c r="A25" s="22"/>
      <c r="B25" s="33">
        <v>250701</v>
      </c>
      <c r="C25" s="34" t="s">
        <v>35</v>
      </c>
      <c r="D25" s="35" t="s">
        <v>10</v>
      </c>
      <c r="E25" s="140">
        <f>COUNTIF(M68:M94,3.5)+COUNTIF(N68:N94,3.5)+COUNTIF(O68:O94,3.5)</f>
        <v>0</v>
      </c>
      <c r="F25" s="350">
        <v>73</v>
      </c>
      <c r="G25" s="153">
        <f t="shared" si="0"/>
        <v>0</v>
      </c>
      <c r="H25" s="283">
        <f t="shared" si="1"/>
        <v>0</v>
      </c>
      <c r="I25" s="12"/>
      <c r="J25" s="5"/>
      <c r="K25" s="5"/>
      <c r="L25" s="142">
        <f>E25*525</f>
        <v>0</v>
      </c>
      <c r="M25" s="142">
        <f>E25*525</f>
        <v>0</v>
      </c>
      <c r="N25" s="5"/>
      <c r="O25" s="5"/>
      <c r="P25" s="5"/>
    </row>
    <row r="26" spans="1:16" ht="16.5" customHeight="1" thickTop="1" thickBot="1" x14ac:dyDescent="0.25">
      <c r="A26" s="22"/>
      <c r="B26" s="33">
        <v>250801</v>
      </c>
      <c r="C26" s="34" t="s">
        <v>36</v>
      </c>
      <c r="D26" s="35" t="s">
        <v>10</v>
      </c>
      <c r="E26" s="140">
        <f>COUNTIF(M68:M94,4)+COUNTIF(N68:N94,4)+COUNTIF(O68:O94,4)</f>
        <v>0</v>
      </c>
      <c r="F26" s="350">
        <v>82</v>
      </c>
      <c r="G26" s="153">
        <f t="shared" si="0"/>
        <v>0</v>
      </c>
      <c r="H26" s="283">
        <f t="shared" si="1"/>
        <v>0</v>
      </c>
      <c r="I26" s="12"/>
      <c r="J26" s="5"/>
      <c r="K26" s="8"/>
      <c r="L26" s="142">
        <f>E26*600</f>
        <v>0</v>
      </c>
      <c r="M26" s="142">
        <f>E26*600</f>
        <v>0</v>
      </c>
      <c r="N26" s="5"/>
      <c r="O26" s="5"/>
      <c r="P26" s="5"/>
    </row>
    <row r="27" spans="1:16" ht="16.5" customHeight="1" thickTop="1" thickBot="1" x14ac:dyDescent="0.25">
      <c r="A27" s="22"/>
      <c r="B27" s="33">
        <v>250901</v>
      </c>
      <c r="C27" s="34" t="s">
        <v>37</v>
      </c>
      <c r="D27" s="35" t="s">
        <v>10</v>
      </c>
      <c r="E27" s="140">
        <f>COUNTIF(M68:M94,4.5)+COUNTIF(N68:N94,4.5)+COUNTIF(O68:O94,4.5)</f>
        <v>0</v>
      </c>
      <c r="F27" s="350">
        <v>88</v>
      </c>
      <c r="G27" s="153">
        <f t="shared" si="0"/>
        <v>0</v>
      </c>
      <c r="H27" s="283">
        <f t="shared" si="1"/>
        <v>0</v>
      </c>
      <c r="I27" s="12"/>
      <c r="J27" s="5"/>
      <c r="K27" s="5"/>
      <c r="L27" s="142">
        <f>E27*675</f>
        <v>0</v>
      </c>
      <c r="M27" s="142">
        <f>E27*675</f>
        <v>0</v>
      </c>
      <c r="N27" s="5"/>
      <c r="O27" s="5"/>
      <c r="P27" s="5"/>
    </row>
    <row r="28" spans="1:16" ht="16.5" customHeight="1" thickTop="1" thickBot="1" x14ac:dyDescent="0.25">
      <c r="A28" s="22"/>
      <c r="B28" s="33">
        <v>251001</v>
      </c>
      <c r="C28" s="34" t="s">
        <v>38</v>
      </c>
      <c r="D28" s="35" t="s">
        <v>10</v>
      </c>
      <c r="E28" s="140">
        <f>COUNTIF(M68:M94,5)+COUNTIF(N68:N94,5)+COUNTIF(O68:O94,5)</f>
        <v>0</v>
      </c>
      <c r="F28" s="350">
        <v>94</v>
      </c>
      <c r="G28" s="153">
        <f t="shared" si="0"/>
        <v>0</v>
      </c>
      <c r="H28" s="283">
        <f t="shared" si="1"/>
        <v>0</v>
      </c>
      <c r="I28" s="12"/>
      <c r="J28" s="5"/>
      <c r="K28" s="5"/>
      <c r="L28" s="142">
        <f>E28*750</f>
        <v>0</v>
      </c>
      <c r="M28" s="142">
        <f>E28*750</f>
        <v>0</v>
      </c>
      <c r="N28" s="5"/>
      <c r="O28" s="5"/>
      <c r="P28" s="5"/>
    </row>
    <row r="29" spans="1:16" ht="16.5" customHeight="1" thickTop="1" thickBot="1" x14ac:dyDescent="0.25">
      <c r="A29" s="22"/>
      <c r="B29" s="33">
        <v>251201</v>
      </c>
      <c r="C29" s="34" t="s">
        <v>39</v>
      </c>
      <c r="D29" s="35" t="s">
        <v>10</v>
      </c>
      <c r="E29" s="140">
        <f>COUNTIF(M68:M94,6)+COUNTIF(N68:N94,6)+COUNTIF(O68:O94,6)</f>
        <v>0</v>
      </c>
      <c r="F29" s="350">
        <v>117</v>
      </c>
      <c r="G29" s="153">
        <f t="shared" si="0"/>
        <v>0</v>
      </c>
      <c r="H29" s="283">
        <f t="shared" si="1"/>
        <v>0</v>
      </c>
      <c r="I29" s="12"/>
      <c r="J29" s="5"/>
      <c r="K29" s="5"/>
      <c r="L29" s="142">
        <f>E29*900</f>
        <v>0</v>
      </c>
      <c r="M29" s="142">
        <f>E29*900</f>
        <v>0</v>
      </c>
      <c r="N29" s="5"/>
      <c r="O29" s="5"/>
      <c r="P29" s="5"/>
    </row>
    <row r="30" spans="1:16" ht="16.5" customHeight="1" thickTop="1" thickBot="1" x14ac:dyDescent="0.25">
      <c r="A30" s="22"/>
      <c r="B30" s="33">
        <v>251401</v>
      </c>
      <c r="C30" s="34" t="s">
        <v>40</v>
      </c>
      <c r="D30" s="35" t="s">
        <v>10</v>
      </c>
      <c r="E30" s="140">
        <f>COUNTIF(M68:M94,7)+COUNTIF(N68:N94,7)+COUNTIF(O68:O94,7)</f>
        <v>0</v>
      </c>
      <c r="F30" s="350">
        <v>130</v>
      </c>
      <c r="G30" s="153">
        <f t="shared" si="0"/>
        <v>0</v>
      </c>
      <c r="H30" s="283">
        <f t="shared" si="1"/>
        <v>0</v>
      </c>
      <c r="I30" s="12"/>
      <c r="J30" s="5"/>
      <c r="K30" s="5"/>
      <c r="L30" s="142">
        <f>E30*1050</f>
        <v>0</v>
      </c>
      <c r="M30" s="142">
        <f>E30*1050</f>
        <v>0</v>
      </c>
      <c r="N30" s="5"/>
      <c r="O30" s="5"/>
      <c r="P30" s="5"/>
    </row>
    <row r="31" spans="1:16" ht="16.5" customHeight="1" thickTop="1" thickBot="1" x14ac:dyDescent="0.25">
      <c r="A31" s="22"/>
      <c r="B31" s="33">
        <v>251601</v>
      </c>
      <c r="C31" s="34" t="s">
        <v>41</v>
      </c>
      <c r="D31" s="35" t="s">
        <v>10</v>
      </c>
      <c r="E31" s="140">
        <f>COUNTIF(M68:M94,8)+COUNTIF(N68:N94,8)+COUNTIF(O68:O94,8)</f>
        <v>0</v>
      </c>
      <c r="F31" s="350">
        <v>157</v>
      </c>
      <c r="G31" s="153">
        <f t="shared" si="0"/>
        <v>0</v>
      </c>
      <c r="H31" s="283">
        <f t="shared" si="1"/>
        <v>0</v>
      </c>
      <c r="I31" s="12"/>
      <c r="J31" s="5"/>
      <c r="K31" s="5"/>
      <c r="L31" s="142">
        <f>E31*1200</f>
        <v>0</v>
      </c>
      <c r="M31" s="142">
        <f>E31*1200</f>
        <v>0</v>
      </c>
      <c r="N31" s="5"/>
      <c r="O31" s="5"/>
      <c r="P31" s="5"/>
    </row>
    <row r="32" spans="1:16" ht="16.5" customHeight="1" thickTop="1" thickBot="1" x14ac:dyDescent="0.25">
      <c r="A32" s="22"/>
      <c r="B32" s="33">
        <v>251801</v>
      </c>
      <c r="C32" s="34" t="s">
        <v>42</v>
      </c>
      <c r="D32" s="35" t="s">
        <v>10</v>
      </c>
      <c r="E32" s="140">
        <f>COUNTIF(M68:M94,9)+COUNTIF(N68:N94,9)+COUNTIF(O68:O94,9)</f>
        <v>0</v>
      </c>
      <c r="F32" s="350">
        <v>179</v>
      </c>
      <c r="G32" s="153">
        <f t="shared" si="0"/>
        <v>0</v>
      </c>
      <c r="H32" s="283">
        <f t="shared" si="1"/>
        <v>0</v>
      </c>
      <c r="I32" s="12"/>
      <c r="J32" s="5"/>
      <c r="K32" s="5"/>
      <c r="L32" s="142">
        <f>E32*1350</f>
        <v>0</v>
      </c>
      <c r="M32" s="142">
        <f>E32*1350</f>
        <v>0</v>
      </c>
      <c r="N32" s="5"/>
      <c r="O32" s="5"/>
      <c r="P32" s="5"/>
    </row>
    <row r="33" spans="1:16" ht="16.5" customHeight="1" thickTop="1" thickBot="1" x14ac:dyDescent="0.25">
      <c r="A33" s="22"/>
      <c r="B33" s="33">
        <v>252001</v>
      </c>
      <c r="C33" s="34" t="s">
        <v>43</v>
      </c>
      <c r="D33" s="35" t="s">
        <v>10</v>
      </c>
      <c r="E33" s="140">
        <f>COUNTIF(M68:M94,10)+COUNTIF(N68:N94,10)+COUNTIF(O68:O94,10)</f>
        <v>0</v>
      </c>
      <c r="F33" s="350">
        <v>186</v>
      </c>
      <c r="G33" s="153">
        <f t="shared" si="0"/>
        <v>0</v>
      </c>
      <c r="H33" s="283">
        <f t="shared" si="1"/>
        <v>0</v>
      </c>
      <c r="I33" s="12"/>
      <c r="J33" s="5"/>
      <c r="K33" s="5"/>
      <c r="L33" s="142">
        <f>E33*1500</f>
        <v>0</v>
      </c>
      <c r="M33" s="142">
        <f>E33*1500</f>
        <v>0</v>
      </c>
      <c r="N33" s="5"/>
      <c r="O33" s="5"/>
      <c r="P33" s="5"/>
    </row>
    <row r="34" spans="1:16" ht="16.5" customHeight="1" thickTop="1" thickBot="1" x14ac:dyDescent="0.25">
      <c r="A34" s="22"/>
      <c r="B34" s="33">
        <v>252402</v>
      </c>
      <c r="C34" s="34" t="s">
        <v>44</v>
      </c>
      <c r="D34" s="35" t="s">
        <v>10</v>
      </c>
      <c r="E34" s="140">
        <f>COUNTIF(M68:M94,12)+COUNTIF(N68:N94,12)+COUNTIF(O68:O94,12)</f>
        <v>0</v>
      </c>
      <c r="F34" s="350">
        <v>216</v>
      </c>
      <c r="G34" s="153">
        <f t="shared" si="0"/>
        <v>0</v>
      </c>
      <c r="H34" s="283">
        <f t="shared" si="1"/>
        <v>0</v>
      </c>
      <c r="I34" s="12"/>
      <c r="J34" s="5"/>
      <c r="K34" s="5"/>
      <c r="L34" s="142">
        <f>E34*1800</f>
        <v>0</v>
      </c>
      <c r="M34" s="142">
        <f>E34*1800</f>
        <v>0</v>
      </c>
      <c r="N34" s="5"/>
      <c r="O34" s="5"/>
      <c r="P34" s="5"/>
    </row>
    <row r="35" spans="1:16" ht="16.5" customHeight="1" thickTop="1" thickBot="1" x14ac:dyDescent="0.25">
      <c r="A35" s="22"/>
      <c r="B35" s="33">
        <v>253002</v>
      </c>
      <c r="C35" s="34" t="s">
        <v>45</v>
      </c>
      <c r="D35" s="35" t="s">
        <v>10</v>
      </c>
      <c r="E35" s="140">
        <f>COUNTIF(M68:M94,15)+COUNTIF(N68:N94,15)+COUNTIF(O68:O94,15)</f>
        <v>0</v>
      </c>
      <c r="F35" s="350">
        <v>272</v>
      </c>
      <c r="G35" s="153">
        <f t="shared" si="0"/>
        <v>0</v>
      </c>
      <c r="H35" s="283">
        <f t="shared" si="1"/>
        <v>0</v>
      </c>
      <c r="I35" s="12"/>
      <c r="J35" s="5"/>
      <c r="K35" s="5"/>
      <c r="L35" s="142">
        <f>E35*2250</f>
        <v>0</v>
      </c>
      <c r="M35" s="142">
        <f>E35*2250</f>
        <v>0</v>
      </c>
      <c r="N35" s="5"/>
      <c r="O35" s="5"/>
      <c r="P35" s="5"/>
    </row>
    <row r="36" spans="1:16" ht="16.5" customHeight="1" thickTop="1" thickBot="1" x14ac:dyDescent="0.25">
      <c r="A36" s="22"/>
      <c r="B36" s="33">
        <v>254002</v>
      </c>
      <c r="C36" s="34" t="s">
        <v>46</v>
      </c>
      <c r="D36" s="35" t="s">
        <v>10</v>
      </c>
      <c r="E36" s="140">
        <f>COUNTIF(M68:M94,20)+COUNTIF(N68:N94,20)+COUNTIF(O68:O94,20)</f>
        <v>0</v>
      </c>
      <c r="F36" s="350">
        <v>377</v>
      </c>
      <c r="G36" s="153">
        <f t="shared" si="0"/>
        <v>0</v>
      </c>
      <c r="H36" s="283">
        <f t="shared" si="1"/>
        <v>0</v>
      </c>
      <c r="I36" s="12"/>
      <c r="J36" s="5"/>
      <c r="K36" s="5"/>
      <c r="L36" s="142">
        <f>E36*3000</f>
        <v>0</v>
      </c>
      <c r="M36" s="142">
        <f>E36*3000</f>
        <v>0</v>
      </c>
      <c r="N36" s="5"/>
      <c r="O36" s="5"/>
      <c r="P36" s="5"/>
    </row>
    <row r="37" spans="1:16" ht="20.100000000000001" customHeight="1" thickTop="1" thickBot="1" x14ac:dyDescent="0.25">
      <c r="A37" s="159" t="s">
        <v>138</v>
      </c>
      <c r="B37" s="162"/>
      <c r="C37" s="162"/>
      <c r="D37" s="162"/>
      <c r="E37" s="162"/>
      <c r="F37" s="351"/>
      <c r="G37" s="20"/>
      <c r="H37" s="283">
        <f>SUM(H38:H46)</f>
        <v>0</v>
      </c>
      <c r="I37" s="5"/>
      <c r="J37" s="5"/>
      <c r="K37" s="5"/>
      <c r="L37" s="143"/>
      <c r="M37" s="310"/>
      <c r="N37" s="5"/>
      <c r="O37" s="5"/>
      <c r="P37" s="5"/>
    </row>
    <row r="38" spans="1:16" ht="30" customHeight="1" thickTop="1" thickBot="1" x14ac:dyDescent="0.25">
      <c r="A38" s="22"/>
      <c r="B38" s="22">
        <v>825400</v>
      </c>
      <c r="C38" s="66" t="s">
        <v>380</v>
      </c>
      <c r="D38" s="22" t="s">
        <v>10</v>
      </c>
      <c r="E38" s="22">
        <f>P95</f>
        <v>0</v>
      </c>
      <c r="F38" s="352">
        <v>102</v>
      </c>
      <c r="G38" s="153">
        <f t="shared" ref="G38:G46" si="2">E38*F38</f>
        <v>0</v>
      </c>
      <c r="H38" s="283">
        <f>E38</f>
        <v>0</v>
      </c>
      <c r="J38" s="5"/>
      <c r="M38" s="310"/>
    </row>
    <row r="39" spans="1:16" ht="30" customHeight="1" thickTop="1" thickBot="1" x14ac:dyDescent="0.25">
      <c r="A39" s="22"/>
      <c r="B39" s="22">
        <v>825880</v>
      </c>
      <c r="C39" s="66" t="s">
        <v>103</v>
      </c>
      <c r="D39" s="22" t="s">
        <v>10</v>
      </c>
      <c r="E39" s="22">
        <f>P95</f>
        <v>0</v>
      </c>
      <c r="F39" s="352">
        <v>92</v>
      </c>
      <c r="G39" s="153">
        <f t="shared" si="2"/>
        <v>0</v>
      </c>
      <c r="H39" s="283">
        <f t="shared" ref="H39:H46" si="3">E39</f>
        <v>0</v>
      </c>
      <c r="J39" s="5"/>
      <c r="M39" s="190"/>
    </row>
    <row r="40" spans="1:16" ht="30" customHeight="1" thickTop="1" thickBot="1" x14ac:dyDescent="0.25">
      <c r="A40" s="22"/>
      <c r="B40" s="22">
        <v>825870</v>
      </c>
      <c r="C40" s="66" t="s">
        <v>366</v>
      </c>
      <c r="D40" s="22" t="s">
        <v>10</v>
      </c>
      <c r="E40" s="22">
        <f>P95</f>
        <v>0</v>
      </c>
      <c r="F40" s="352">
        <v>84</v>
      </c>
      <c r="G40" s="153">
        <f t="shared" si="2"/>
        <v>0</v>
      </c>
      <c r="H40" s="283">
        <f t="shared" si="3"/>
        <v>0</v>
      </c>
      <c r="J40" s="5"/>
      <c r="M40" s="190"/>
    </row>
    <row r="41" spans="1:16" ht="28.5" customHeight="1" thickTop="1" thickBot="1" x14ac:dyDescent="0.25">
      <c r="A41" s="22"/>
      <c r="B41" s="26">
        <v>825840</v>
      </c>
      <c r="C41" s="29" t="s">
        <v>327</v>
      </c>
      <c r="D41" s="30" t="s">
        <v>10</v>
      </c>
      <c r="E41" s="30">
        <f>P95</f>
        <v>0</v>
      </c>
      <c r="F41" s="352">
        <v>45</v>
      </c>
      <c r="G41" s="88">
        <f t="shared" si="2"/>
        <v>0</v>
      </c>
      <c r="H41" s="283">
        <f t="shared" si="3"/>
        <v>0</v>
      </c>
      <c r="J41" s="5"/>
    </row>
    <row r="42" spans="1:16" ht="29.25" customHeight="1" thickTop="1" thickBot="1" x14ac:dyDescent="0.25">
      <c r="A42" s="22"/>
      <c r="B42" s="26">
        <v>827000</v>
      </c>
      <c r="C42" s="27" t="s">
        <v>365</v>
      </c>
      <c r="D42" s="28" t="s">
        <v>10</v>
      </c>
      <c r="E42" s="30">
        <f>P95</f>
        <v>0</v>
      </c>
      <c r="F42" s="352">
        <v>25</v>
      </c>
      <c r="G42" s="88">
        <f t="shared" si="2"/>
        <v>0</v>
      </c>
      <c r="H42" s="283">
        <f t="shared" si="3"/>
        <v>0</v>
      </c>
      <c r="J42" s="5"/>
    </row>
    <row r="43" spans="1:16" ht="27.75" customHeight="1" thickTop="1" thickBot="1" x14ac:dyDescent="0.25">
      <c r="A43" s="22"/>
      <c r="B43" s="26">
        <v>838101</v>
      </c>
      <c r="C43" s="29" t="s">
        <v>59</v>
      </c>
      <c r="D43" s="30" t="s">
        <v>10</v>
      </c>
      <c r="E43" s="30">
        <f>P95</f>
        <v>0</v>
      </c>
      <c r="F43" s="352">
        <v>26</v>
      </c>
      <c r="G43" s="88">
        <f t="shared" si="2"/>
        <v>0</v>
      </c>
      <c r="H43" s="283">
        <f t="shared" si="3"/>
        <v>0</v>
      </c>
      <c r="J43" s="5"/>
    </row>
    <row r="44" spans="1:16" ht="16.5" customHeight="1" thickTop="1" thickBot="1" x14ac:dyDescent="0.25">
      <c r="A44" s="22"/>
      <c r="B44" s="26">
        <v>860199</v>
      </c>
      <c r="C44" s="29" t="s">
        <v>328</v>
      </c>
      <c r="D44" s="30" t="s">
        <v>10</v>
      </c>
      <c r="E44" s="30"/>
      <c r="F44" s="352">
        <v>13</v>
      </c>
      <c r="G44" s="154">
        <f t="shared" si="2"/>
        <v>0</v>
      </c>
      <c r="H44" s="283">
        <f t="shared" si="3"/>
        <v>0</v>
      </c>
      <c r="J44" s="5"/>
    </row>
    <row r="45" spans="1:16" ht="30" customHeight="1" thickTop="1" thickBot="1" x14ac:dyDescent="0.25">
      <c r="A45" s="93"/>
      <c r="B45" s="96">
        <v>630112</v>
      </c>
      <c r="C45" s="95" t="s">
        <v>387</v>
      </c>
      <c r="D45" s="94" t="s">
        <v>10</v>
      </c>
      <c r="E45" s="40">
        <f>(ROUNDUP(K95*1.05/3,0))</f>
        <v>0</v>
      </c>
      <c r="F45" s="352">
        <v>81</v>
      </c>
      <c r="G45" s="153">
        <f t="shared" si="2"/>
        <v>0</v>
      </c>
      <c r="H45" s="283">
        <f t="shared" si="3"/>
        <v>0</v>
      </c>
      <c r="J45" s="5"/>
    </row>
    <row r="46" spans="1:16" ht="30" customHeight="1" thickTop="1" thickBot="1" x14ac:dyDescent="0.25">
      <c r="A46" s="93"/>
      <c r="B46" s="96">
        <v>630113</v>
      </c>
      <c r="C46" s="95" t="s">
        <v>333</v>
      </c>
      <c r="D46" s="94" t="s">
        <v>10</v>
      </c>
      <c r="E46" s="104">
        <f>(ROUNDUP(K95*1.05/4.8,0))</f>
        <v>0</v>
      </c>
      <c r="F46" s="352">
        <v>123</v>
      </c>
      <c r="G46" s="153">
        <f t="shared" si="2"/>
        <v>0</v>
      </c>
      <c r="H46" s="283">
        <f t="shared" si="3"/>
        <v>0</v>
      </c>
      <c r="J46" s="5"/>
    </row>
    <row r="47" spans="1:16" ht="16.5" customHeight="1" thickTop="1" thickBot="1" x14ac:dyDescent="0.25">
      <c r="A47" s="415" t="s">
        <v>16</v>
      </c>
      <c r="B47" s="416"/>
      <c r="C47" s="416"/>
      <c r="D47" s="416"/>
      <c r="E47" s="416"/>
      <c r="F47" s="416"/>
      <c r="G47" s="156">
        <f>SUM(G20:G46)</f>
        <v>0</v>
      </c>
      <c r="H47" s="190"/>
    </row>
    <row r="48" spans="1:16" ht="16.5" customHeight="1" thickTop="1" thickBot="1" x14ac:dyDescent="0.25">
      <c r="A48" s="67">
        <v>0.05</v>
      </c>
      <c r="B48" s="391" t="s">
        <v>67</v>
      </c>
      <c r="C48" s="393"/>
      <c r="D48" s="393"/>
      <c r="E48" s="393"/>
      <c r="F48" s="393"/>
      <c r="G48" s="89">
        <f>G47*(1-A48)</f>
        <v>0</v>
      </c>
      <c r="H48" s="190"/>
    </row>
    <row r="49" spans="1:8" ht="16.5" customHeight="1" thickTop="1" thickBot="1" x14ac:dyDescent="0.25">
      <c r="A49" s="14" t="s">
        <v>17</v>
      </c>
      <c r="B49" s="19"/>
      <c r="C49" s="19"/>
      <c r="D49" s="19"/>
      <c r="E49" s="19"/>
      <c r="F49" s="19"/>
      <c r="G49" s="89">
        <f>G48*1.21</f>
        <v>0</v>
      </c>
      <c r="H49" s="190"/>
    </row>
    <row r="50" spans="1:8" ht="18" customHeight="1" thickTop="1" x14ac:dyDescent="0.2">
      <c r="A50" s="2"/>
      <c r="B50" s="148"/>
      <c r="C50" s="148"/>
      <c r="D50" s="148"/>
      <c r="E50" s="148"/>
      <c r="F50" s="148"/>
      <c r="G50" s="51"/>
    </row>
    <row r="51" spans="1:8" ht="18" customHeight="1" x14ac:dyDescent="0.2">
      <c r="A51" s="400" t="s">
        <v>183</v>
      </c>
      <c r="B51" s="374"/>
      <c r="C51" s="374"/>
      <c r="D51" s="374"/>
      <c r="E51" s="374"/>
      <c r="F51" s="374"/>
      <c r="G51" s="374"/>
    </row>
    <row r="52" spans="1:8" ht="34.5" customHeight="1" x14ac:dyDescent="0.2"/>
    <row r="53" spans="1:8" ht="14.4" x14ac:dyDescent="0.2">
      <c r="A53" s="389" t="s">
        <v>18</v>
      </c>
      <c r="B53" s="417"/>
      <c r="C53" s="417"/>
      <c r="D53" s="417"/>
      <c r="E53" s="417"/>
      <c r="F53" s="417"/>
      <c r="G53" s="417"/>
    </row>
    <row r="54" spans="1:8" ht="28.5" customHeight="1" x14ac:dyDescent="0.3">
      <c r="A54" s="404" t="s">
        <v>61</v>
      </c>
      <c r="B54" s="414"/>
      <c r="C54" s="414"/>
      <c r="D54" s="414"/>
      <c r="E54" s="414"/>
      <c r="F54" s="414"/>
      <c r="G54" s="414"/>
    </row>
    <row r="55" spans="1:8" ht="17.25" customHeight="1" x14ac:dyDescent="0.2">
      <c r="A55" s="404" t="s">
        <v>337</v>
      </c>
      <c r="B55" s="404"/>
      <c r="C55" s="404"/>
      <c r="D55" s="404"/>
      <c r="E55" s="404"/>
      <c r="F55" s="404"/>
      <c r="G55" s="404"/>
    </row>
    <row r="56" spans="1:8" ht="21" customHeight="1" x14ac:dyDescent="0.3">
      <c r="A56" s="404" t="s">
        <v>207</v>
      </c>
      <c r="B56" s="414"/>
      <c r="C56" s="414"/>
      <c r="D56" s="235">
        <f>SUM(M20:M36)/1000</f>
        <v>0</v>
      </c>
      <c r="E56" s="49"/>
      <c r="F56" s="49"/>
      <c r="G56" s="49"/>
    </row>
    <row r="57" spans="1:8" s="105" customFormat="1" ht="18" customHeight="1" x14ac:dyDescent="0.3">
      <c r="A57" s="2" t="s">
        <v>19</v>
      </c>
      <c r="B57" s="4"/>
      <c r="C57" s="4"/>
      <c r="D57" s="4"/>
      <c r="E57" s="4"/>
      <c r="F57" s="4"/>
      <c r="G57" s="4"/>
    </row>
    <row r="58" spans="1:8" ht="18" customHeight="1" x14ac:dyDescent="0.2">
      <c r="A58" s="389" t="s">
        <v>20</v>
      </c>
      <c r="B58" s="417"/>
      <c r="C58" s="417"/>
      <c r="D58" s="417"/>
      <c r="E58" s="417"/>
      <c r="F58" s="417"/>
      <c r="G58" s="417"/>
    </row>
    <row r="59" spans="1:8" ht="16.5" customHeight="1" x14ac:dyDescent="0.3">
      <c r="A59" s="389" t="s">
        <v>21</v>
      </c>
      <c r="B59" s="409"/>
      <c r="C59" s="409"/>
      <c r="D59" s="409"/>
      <c r="E59" s="409"/>
      <c r="F59" s="409"/>
      <c r="G59" s="409"/>
    </row>
    <row r="60" spans="1:8" ht="21.75" customHeight="1" x14ac:dyDescent="0.2">
      <c r="A60" s="389" t="s">
        <v>22</v>
      </c>
      <c r="B60" s="417"/>
      <c r="C60" s="417"/>
      <c r="D60" s="417"/>
      <c r="E60" s="417"/>
      <c r="F60" s="417"/>
      <c r="G60" s="417"/>
    </row>
    <row r="62" spans="1:8" x14ac:dyDescent="0.2">
      <c r="B62" s="1" t="s">
        <v>11</v>
      </c>
      <c r="C62" s="2"/>
    </row>
    <row r="63" spans="1:8" x14ac:dyDescent="0.2">
      <c r="B63" s="373"/>
      <c r="C63" s="373"/>
    </row>
    <row r="64" spans="1:8" x14ac:dyDescent="0.2">
      <c r="B64" s="373"/>
      <c r="C64" s="373"/>
    </row>
    <row r="65" spans="1:18" ht="12" thickBot="1" x14ac:dyDescent="0.25">
      <c r="B65" s="418"/>
      <c r="C65" s="418"/>
    </row>
    <row r="66" spans="1:18" ht="15" thickBot="1" x14ac:dyDescent="0.25">
      <c r="A66" s="243"/>
      <c r="B66" s="240" t="s">
        <v>12</v>
      </c>
      <c r="C66" s="243"/>
      <c r="J66" s="412" t="s">
        <v>180</v>
      </c>
      <c r="K66" s="413"/>
      <c r="L66" s="413"/>
      <c r="M66" s="413"/>
      <c r="N66" s="413"/>
      <c r="O66" s="413"/>
      <c r="P66" s="413"/>
    </row>
    <row r="67" spans="1:18" ht="56.25" customHeight="1" thickTop="1" thickBot="1" x14ac:dyDescent="0.25">
      <c r="J67" s="62" t="s">
        <v>71</v>
      </c>
      <c r="K67" s="62" t="s">
        <v>142</v>
      </c>
      <c r="L67" s="62" t="s">
        <v>185</v>
      </c>
      <c r="M67" s="62" t="s">
        <v>139</v>
      </c>
      <c r="N67" s="62" t="s">
        <v>140</v>
      </c>
      <c r="O67" s="62" t="s">
        <v>141</v>
      </c>
      <c r="P67" s="70" t="s">
        <v>107</v>
      </c>
      <c r="Q67" s="62" t="s">
        <v>267</v>
      </c>
      <c r="R67" s="12" t="s">
        <v>252</v>
      </c>
    </row>
    <row r="68" spans="1:18" ht="12.6" thickTop="1" thickBot="1" x14ac:dyDescent="0.25">
      <c r="I68" s="335"/>
      <c r="J68" s="138" t="s">
        <v>125</v>
      </c>
      <c r="K68" s="122"/>
      <c r="L68" s="113" t="str">
        <f>IF(ISNUMBER(K68),K68*135/150,"")</f>
        <v/>
      </c>
      <c r="M68" s="191"/>
      <c r="N68" s="191"/>
      <c r="O68" s="191"/>
      <c r="P68" s="63" t="str">
        <f>IF(OR(ISNUMBER(M68), ISNUMBER(N68), ISNUMBER(O68)), 1, "")</f>
        <v/>
      </c>
      <c r="Q68" s="242">
        <v>1</v>
      </c>
      <c r="R68" s="178" t="s">
        <v>235</v>
      </c>
    </row>
    <row r="69" spans="1:18" ht="13.2" thickTop="1" thickBot="1" x14ac:dyDescent="0.25">
      <c r="I69" s="133"/>
      <c r="J69" s="138" t="s">
        <v>81</v>
      </c>
      <c r="K69" s="122"/>
      <c r="L69" s="113" t="str">
        <f t="shared" ref="L69:L80" si="4">IF(ISNUMBER(K69),K69*135/150,"")</f>
        <v/>
      </c>
      <c r="M69" s="192"/>
      <c r="N69" s="192"/>
      <c r="O69" s="192"/>
      <c r="P69" s="63" t="str">
        <f t="shared" ref="P69:P80" si="5">IF(OR(ISNUMBER(M69), ISNUMBER(N69), ISNUMBER(O69)), 1, "")</f>
        <v/>
      </c>
      <c r="Q69" s="242" t="s">
        <v>253</v>
      </c>
      <c r="R69" s="178" t="s">
        <v>236</v>
      </c>
    </row>
    <row r="70" spans="1:18" ht="13.2" thickTop="1" thickBot="1" x14ac:dyDescent="0.25">
      <c r="I70" s="133"/>
      <c r="J70" s="138" t="s">
        <v>82</v>
      </c>
      <c r="K70" s="122"/>
      <c r="L70" s="113" t="str">
        <f t="shared" si="4"/>
        <v/>
      </c>
      <c r="M70" s="192"/>
      <c r="N70" s="192"/>
      <c r="O70" s="192"/>
      <c r="P70" s="63" t="str">
        <f t="shared" si="5"/>
        <v/>
      </c>
      <c r="Q70" s="242">
        <v>2</v>
      </c>
      <c r="R70" s="178" t="s">
        <v>237</v>
      </c>
    </row>
    <row r="71" spans="1:18" ht="13.2" thickTop="1" thickBot="1" x14ac:dyDescent="0.25">
      <c r="I71" s="133"/>
      <c r="J71" s="138" t="s">
        <v>83</v>
      </c>
      <c r="K71" s="122"/>
      <c r="L71" s="113" t="str">
        <f t="shared" si="4"/>
        <v/>
      </c>
      <c r="M71" s="192"/>
      <c r="N71" s="192"/>
      <c r="O71" s="192"/>
      <c r="P71" s="63" t="str">
        <f t="shared" si="5"/>
        <v/>
      </c>
      <c r="Q71" s="242" t="s">
        <v>254</v>
      </c>
      <c r="R71" s="178" t="s">
        <v>238</v>
      </c>
    </row>
    <row r="72" spans="1:18" ht="13.2" thickTop="1" thickBot="1" x14ac:dyDescent="0.25">
      <c r="I72" s="133"/>
      <c r="J72" s="138" t="s">
        <v>80</v>
      </c>
      <c r="K72" s="122"/>
      <c r="L72" s="113" t="str">
        <f t="shared" si="4"/>
        <v/>
      </c>
      <c r="M72" s="192"/>
      <c r="N72" s="192"/>
      <c r="O72" s="192"/>
      <c r="P72" s="63" t="str">
        <f t="shared" si="5"/>
        <v/>
      </c>
      <c r="Q72" s="242">
        <v>3</v>
      </c>
      <c r="R72" s="178" t="s">
        <v>239</v>
      </c>
    </row>
    <row r="73" spans="1:18" ht="13.2" thickTop="1" thickBot="1" x14ac:dyDescent="0.25">
      <c r="I73" s="133"/>
      <c r="J73" s="139" t="s">
        <v>73</v>
      </c>
      <c r="K73" s="122"/>
      <c r="L73" s="113" t="str">
        <f t="shared" si="4"/>
        <v/>
      </c>
      <c r="M73" s="192"/>
      <c r="N73" s="192"/>
      <c r="O73" s="192"/>
      <c r="P73" s="63" t="str">
        <f t="shared" si="5"/>
        <v/>
      </c>
      <c r="Q73" s="242" t="s">
        <v>255</v>
      </c>
      <c r="R73" s="178" t="s">
        <v>240</v>
      </c>
    </row>
    <row r="74" spans="1:18" ht="12.6" thickTop="1" thickBot="1" x14ac:dyDescent="0.25">
      <c r="I74" s="112" t="s">
        <v>79</v>
      </c>
      <c r="J74" s="139" t="s">
        <v>74</v>
      </c>
      <c r="K74" s="122"/>
      <c r="L74" s="113" t="str">
        <f t="shared" si="4"/>
        <v/>
      </c>
      <c r="M74" s="192"/>
      <c r="N74" s="192"/>
      <c r="O74" s="192"/>
      <c r="P74" s="63" t="str">
        <f t="shared" si="5"/>
        <v/>
      </c>
      <c r="Q74" s="242">
        <v>4</v>
      </c>
      <c r="R74" s="178" t="s">
        <v>241</v>
      </c>
    </row>
    <row r="75" spans="1:18" ht="12.6" thickTop="1" thickBot="1" x14ac:dyDescent="0.25">
      <c r="I75" s="145">
        <f>SUM(K68:K80)</f>
        <v>0</v>
      </c>
      <c r="J75" s="139" t="s">
        <v>77</v>
      </c>
      <c r="K75" s="334"/>
      <c r="L75" s="113" t="str">
        <f t="shared" si="4"/>
        <v/>
      </c>
      <c r="M75" s="192"/>
      <c r="N75" s="192"/>
      <c r="O75" s="192"/>
      <c r="P75" s="63" t="str">
        <f t="shared" si="5"/>
        <v/>
      </c>
      <c r="Q75" s="242" t="s">
        <v>256</v>
      </c>
      <c r="R75" s="178" t="s">
        <v>242</v>
      </c>
    </row>
    <row r="76" spans="1:18" ht="12.6" thickTop="1" thickBot="1" x14ac:dyDescent="0.25">
      <c r="I76" s="112" t="s">
        <v>129</v>
      </c>
      <c r="J76" s="139" t="s">
        <v>77</v>
      </c>
      <c r="K76" s="334"/>
      <c r="L76" s="113" t="str">
        <f t="shared" si="4"/>
        <v/>
      </c>
      <c r="M76" s="192"/>
      <c r="N76" s="192"/>
      <c r="O76" s="192"/>
      <c r="P76" s="63" t="str">
        <f t="shared" si="5"/>
        <v/>
      </c>
      <c r="Q76" s="242">
        <v>5</v>
      </c>
      <c r="R76" s="178" t="s">
        <v>243</v>
      </c>
    </row>
    <row r="77" spans="1:18" ht="13.2" thickTop="1" thickBot="1" x14ac:dyDescent="0.25">
      <c r="I77" s="133"/>
      <c r="J77" s="139" t="s">
        <v>75</v>
      </c>
      <c r="K77" s="334"/>
      <c r="L77" s="113" t="str">
        <f t="shared" si="4"/>
        <v/>
      </c>
      <c r="M77" s="192"/>
      <c r="N77" s="192"/>
      <c r="O77" s="192"/>
      <c r="P77" s="63" t="str">
        <f t="shared" si="5"/>
        <v/>
      </c>
      <c r="Q77" s="242">
        <v>6</v>
      </c>
      <c r="R77" s="178" t="s">
        <v>244</v>
      </c>
    </row>
    <row r="78" spans="1:18" ht="13.2" thickTop="1" thickBot="1" x14ac:dyDescent="0.25">
      <c r="I78" s="133"/>
      <c r="J78" s="139" t="s">
        <v>362</v>
      </c>
      <c r="K78" s="122"/>
      <c r="L78" s="113" t="str">
        <f t="shared" si="4"/>
        <v/>
      </c>
      <c r="M78" s="192"/>
      <c r="N78" s="192"/>
      <c r="O78" s="192"/>
      <c r="P78" s="63" t="str">
        <f t="shared" si="5"/>
        <v/>
      </c>
      <c r="Q78" s="242">
        <v>7</v>
      </c>
      <c r="R78" s="178" t="s">
        <v>245</v>
      </c>
    </row>
    <row r="79" spans="1:18" ht="13.2" thickTop="1" thickBot="1" x14ac:dyDescent="0.25">
      <c r="I79" s="133"/>
      <c r="J79" s="139" t="s">
        <v>364</v>
      </c>
      <c r="K79" s="334"/>
      <c r="L79" s="113" t="str">
        <f t="shared" si="4"/>
        <v/>
      </c>
      <c r="M79" s="192"/>
      <c r="N79" s="192"/>
      <c r="O79" s="192"/>
      <c r="P79" s="63" t="str">
        <f t="shared" si="5"/>
        <v/>
      </c>
      <c r="Q79" s="242">
        <v>8</v>
      </c>
      <c r="R79" s="178" t="s">
        <v>246</v>
      </c>
    </row>
    <row r="80" spans="1:18" ht="13.2" thickTop="1" thickBot="1" x14ac:dyDescent="0.25">
      <c r="I80" s="136"/>
      <c r="J80" s="139" t="s">
        <v>363</v>
      </c>
      <c r="K80" s="334"/>
      <c r="L80" s="113" t="str">
        <f t="shared" si="4"/>
        <v/>
      </c>
      <c r="M80" s="192"/>
      <c r="N80" s="192"/>
      <c r="O80" s="192"/>
      <c r="P80" s="63" t="str">
        <f t="shared" si="5"/>
        <v/>
      </c>
      <c r="Q80" s="242">
        <v>9</v>
      </c>
      <c r="R80" s="178" t="s">
        <v>247</v>
      </c>
    </row>
    <row r="81" spans="9:18" ht="12.6" thickTop="1" thickBot="1" x14ac:dyDescent="0.25">
      <c r="J81" s="100"/>
      <c r="K81" s="131"/>
      <c r="L81" s="223"/>
      <c r="M81" s="167"/>
      <c r="N81" s="167"/>
      <c r="O81" s="167"/>
      <c r="P81" s="100"/>
      <c r="Q81" s="242">
        <v>10</v>
      </c>
      <c r="R81" s="178" t="s">
        <v>248</v>
      </c>
    </row>
    <row r="82" spans="9:18" ht="12.6" thickTop="1" thickBot="1" x14ac:dyDescent="0.25">
      <c r="I82" s="65"/>
      <c r="J82" s="138" t="s">
        <v>73</v>
      </c>
      <c r="K82" s="122"/>
      <c r="L82" s="113" t="str">
        <f>IF(ISNUMBER(K82),K82*135/150,"")</f>
        <v/>
      </c>
      <c r="M82" s="192"/>
      <c r="N82" s="192"/>
      <c r="O82" s="192"/>
      <c r="P82" s="63" t="str">
        <f>IF(OR(ISNUMBER(M82), ISNUMBER(N82), ISNUMBER(O82)), 1, "")</f>
        <v/>
      </c>
      <c r="Q82" s="242">
        <v>12</v>
      </c>
      <c r="R82" s="178" t="s">
        <v>249</v>
      </c>
    </row>
    <row r="83" spans="9:18" ht="12.6" thickTop="1" thickBot="1" x14ac:dyDescent="0.25">
      <c r="I83" s="112"/>
      <c r="J83" s="138" t="s">
        <v>85</v>
      </c>
      <c r="K83" s="122"/>
      <c r="L83" s="113" t="str">
        <f t="shared" ref="L83:L94" si="6">IF(ISNUMBER(K83),K83*135/150,"")</f>
        <v/>
      </c>
      <c r="M83" s="192"/>
      <c r="N83" s="192"/>
      <c r="O83" s="192"/>
      <c r="P83" s="63" t="str">
        <f t="shared" ref="P83:P94" si="7">IF(OR(ISNUMBER(M83), ISNUMBER(N83), ISNUMBER(O83)), 1, "")</f>
        <v/>
      </c>
      <c r="Q83" s="242">
        <v>15</v>
      </c>
      <c r="R83" s="178" t="s">
        <v>250</v>
      </c>
    </row>
    <row r="84" spans="9:18" ht="12.6" thickTop="1" thickBot="1" x14ac:dyDescent="0.25">
      <c r="I84" s="112"/>
      <c r="J84" s="138" t="s">
        <v>86</v>
      </c>
      <c r="K84" s="122"/>
      <c r="L84" s="113" t="str">
        <f t="shared" si="6"/>
        <v/>
      </c>
      <c r="M84" s="192"/>
      <c r="N84" s="192"/>
      <c r="O84" s="192"/>
      <c r="P84" s="63" t="str">
        <f t="shared" si="7"/>
        <v/>
      </c>
      <c r="Q84" s="242">
        <v>20</v>
      </c>
      <c r="R84" s="178" t="s">
        <v>251</v>
      </c>
    </row>
    <row r="85" spans="9:18" ht="12.6" thickTop="1" thickBot="1" x14ac:dyDescent="0.25">
      <c r="I85" s="112"/>
      <c r="J85" s="138" t="s">
        <v>75</v>
      </c>
      <c r="K85" s="122"/>
      <c r="L85" s="113" t="str">
        <f t="shared" si="6"/>
        <v/>
      </c>
      <c r="M85" s="192"/>
      <c r="N85" s="192"/>
      <c r="O85" s="192"/>
      <c r="P85" s="63" t="str">
        <f t="shared" si="7"/>
        <v/>
      </c>
      <c r="Q85" s="100"/>
    </row>
    <row r="86" spans="9:18" ht="12.6" thickTop="1" thickBot="1" x14ac:dyDescent="0.25">
      <c r="I86" s="112" t="s">
        <v>84</v>
      </c>
      <c r="J86" s="138" t="s">
        <v>75</v>
      </c>
      <c r="K86" s="122"/>
      <c r="L86" s="113" t="str">
        <f t="shared" si="6"/>
        <v/>
      </c>
      <c r="M86" s="192"/>
      <c r="N86" s="192"/>
      <c r="O86" s="192"/>
      <c r="P86" s="63" t="str">
        <f t="shared" si="7"/>
        <v/>
      </c>
      <c r="Q86" s="100"/>
    </row>
    <row r="87" spans="9:18" ht="12.6" thickTop="1" thickBot="1" x14ac:dyDescent="0.25">
      <c r="I87" s="145">
        <f>SUM(K82:K94)</f>
        <v>0</v>
      </c>
      <c r="J87" s="138" t="s">
        <v>75</v>
      </c>
      <c r="K87" s="122"/>
      <c r="L87" s="113" t="str">
        <f t="shared" si="6"/>
        <v/>
      </c>
      <c r="M87" s="192"/>
      <c r="N87" s="192"/>
      <c r="O87" s="192"/>
      <c r="P87" s="63" t="str">
        <f t="shared" si="7"/>
        <v/>
      </c>
      <c r="Q87" s="100"/>
    </row>
    <row r="88" spans="9:18" ht="12.6" thickTop="1" thickBot="1" x14ac:dyDescent="0.25">
      <c r="I88" s="112" t="s">
        <v>129</v>
      </c>
      <c r="J88" s="138" t="s">
        <v>77</v>
      </c>
      <c r="K88" s="122"/>
      <c r="L88" s="113" t="str">
        <f t="shared" si="6"/>
        <v/>
      </c>
      <c r="M88" s="192"/>
      <c r="N88" s="192"/>
      <c r="O88" s="192"/>
      <c r="P88" s="63" t="str">
        <f t="shared" si="7"/>
        <v/>
      </c>
      <c r="Q88" s="100"/>
    </row>
    <row r="89" spans="9:18" ht="13.2" thickTop="1" thickBot="1" x14ac:dyDescent="0.25">
      <c r="I89" s="133"/>
      <c r="J89" s="138" t="s">
        <v>77</v>
      </c>
      <c r="K89" s="122"/>
      <c r="L89" s="113" t="str">
        <f t="shared" si="6"/>
        <v/>
      </c>
      <c r="M89" s="191"/>
      <c r="N89" s="191"/>
      <c r="O89" s="191"/>
      <c r="P89" s="63" t="str">
        <f t="shared" si="7"/>
        <v/>
      </c>
      <c r="Q89" s="100"/>
    </row>
    <row r="90" spans="9:18" ht="13.2" thickTop="1" thickBot="1" x14ac:dyDescent="0.25">
      <c r="I90" s="133"/>
      <c r="J90" s="138" t="s">
        <v>77</v>
      </c>
      <c r="K90" s="122"/>
      <c r="L90" s="113" t="str">
        <f t="shared" si="6"/>
        <v/>
      </c>
      <c r="M90" s="191"/>
      <c r="N90" s="191"/>
      <c r="O90" s="191"/>
      <c r="P90" s="63" t="str">
        <f t="shared" si="7"/>
        <v/>
      </c>
      <c r="Q90" s="100"/>
    </row>
    <row r="91" spans="9:18" ht="13.2" thickTop="1" thickBot="1" x14ac:dyDescent="0.25">
      <c r="I91" s="133"/>
      <c r="J91" s="138" t="s">
        <v>73</v>
      </c>
      <c r="K91" s="122"/>
      <c r="L91" s="113" t="str">
        <f t="shared" si="6"/>
        <v/>
      </c>
      <c r="M91" s="191"/>
      <c r="N91" s="191"/>
      <c r="O91" s="191"/>
      <c r="P91" s="63" t="str">
        <f t="shared" si="7"/>
        <v/>
      </c>
      <c r="Q91" s="100"/>
    </row>
    <row r="92" spans="9:18" ht="13.2" thickTop="1" thickBot="1" x14ac:dyDescent="0.25">
      <c r="I92" s="133"/>
      <c r="J92" s="209" t="s">
        <v>75</v>
      </c>
      <c r="K92" s="122"/>
      <c r="L92" s="113" t="str">
        <f t="shared" si="6"/>
        <v/>
      </c>
      <c r="M92" s="191"/>
      <c r="N92" s="191"/>
      <c r="O92" s="191"/>
      <c r="P92" s="63" t="str">
        <f t="shared" si="7"/>
        <v/>
      </c>
      <c r="Q92" s="100"/>
    </row>
    <row r="93" spans="9:18" ht="12.6" thickTop="1" thickBot="1" x14ac:dyDescent="0.25">
      <c r="I93" s="206"/>
      <c r="J93" s="209" t="s">
        <v>75</v>
      </c>
      <c r="K93" s="122"/>
      <c r="L93" s="113" t="str">
        <f t="shared" si="6"/>
        <v/>
      </c>
      <c r="M93" s="192"/>
      <c r="N93" s="192"/>
      <c r="O93" s="192"/>
      <c r="P93" s="63" t="str">
        <f t="shared" si="7"/>
        <v/>
      </c>
    </row>
    <row r="94" spans="9:18" ht="12.6" thickTop="1" thickBot="1" x14ac:dyDescent="0.25">
      <c r="I94" s="207"/>
      <c r="J94" s="139" t="s">
        <v>75</v>
      </c>
      <c r="K94" s="122"/>
      <c r="L94" s="113" t="str">
        <f t="shared" si="6"/>
        <v/>
      </c>
      <c r="M94" s="192"/>
      <c r="N94" s="192"/>
      <c r="O94" s="192"/>
      <c r="P94" s="63" t="str">
        <f t="shared" si="7"/>
        <v/>
      </c>
    </row>
    <row r="95" spans="9:18" ht="15" thickTop="1" thickBot="1" x14ac:dyDescent="0.25">
      <c r="J95" s="212" t="s">
        <v>209</v>
      </c>
      <c r="K95" s="183">
        <f>I75+I87</f>
        <v>0</v>
      </c>
      <c r="L95" s="271"/>
      <c r="M95" s="271"/>
      <c r="N95" s="271"/>
      <c r="O95" s="271"/>
      <c r="P95" s="197">
        <f>SUM(P68:P94)</f>
        <v>0</v>
      </c>
    </row>
    <row r="96" spans="9:18" ht="14.4" thickTop="1" x14ac:dyDescent="0.2">
      <c r="K96" s="99" t="s">
        <v>129</v>
      </c>
      <c r="L96" s="99"/>
      <c r="M96" s="99"/>
      <c r="N96" s="99"/>
      <c r="O96" s="99"/>
      <c r="P96" s="99" t="s">
        <v>128</v>
      </c>
    </row>
    <row r="97" spans="13:16" x14ac:dyDescent="0.2">
      <c r="M97" s="130"/>
      <c r="N97" s="130"/>
      <c r="O97" s="130"/>
      <c r="P97" s="130"/>
    </row>
  </sheetData>
  <autoFilter ref="H18:H49" xr:uid="{00000000-0009-0000-0000-000000000000}"/>
  <mergeCells count="28">
    <mergeCell ref="A10:F10"/>
    <mergeCell ref="A11:F11"/>
    <mergeCell ref="B17:B18"/>
    <mergeCell ref="C17:C18"/>
    <mergeCell ref="D17:D18"/>
    <mergeCell ref="E17:E18"/>
    <mergeCell ref="A15:G15"/>
    <mergeCell ref="C1:G1"/>
    <mergeCell ref="A5:C5"/>
    <mergeCell ref="A6:C6"/>
    <mergeCell ref="A7:C7"/>
    <mergeCell ref="A8:C8"/>
    <mergeCell ref="A2:C2"/>
    <mergeCell ref="A4:C4"/>
    <mergeCell ref="J66:P66"/>
    <mergeCell ref="A55:G55"/>
    <mergeCell ref="A56:C56"/>
    <mergeCell ref="B48:F48"/>
    <mergeCell ref="A47:F47"/>
    <mergeCell ref="A54:G54"/>
    <mergeCell ref="A53:G53"/>
    <mergeCell ref="A51:G51"/>
    <mergeCell ref="A58:G58"/>
    <mergeCell ref="A59:G59"/>
    <mergeCell ref="A60:G60"/>
    <mergeCell ref="B65:C65"/>
    <mergeCell ref="B64:C64"/>
    <mergeCell ref="B63:C63"/>
  </mergeCells>
  <phoneticPr fontId="17" type="noConversion"/>
  <hyperlinks>
    <hyperlink ref="B66" r:id="rId1" xr:uid="{4AEF7410-9221-4675-859B-DD0FE744D905}"/>
    <hyperlink ref="A51" r:id="rId2" xr:uid="{AB56E00F-2726-419E-9E48-A95501C9C47F}"/>
  </hyperlinks>
  <pageMargins left="0.70866141732283505" right="0.23622047244094499" top="1.14173228346457" bottom="1.0629910323709499" header="0.19684930008748899" footer="0.15748031496063"/>
  <pageSetup paperSize="9" scale="85" orientation="portrait" r:id="rId3"/>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4"/>
  <legacyDrawing r:id="rId5"/>
  <legacyDrawingHF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853B-BEF5-43F4-B610-51406BF38DF7}">
  <sheetPr codeName="Foaie3">
    <tabColor rgb="FF00FF00"/>
  </sheetPr>
  <dimension ref="A1:X126"/>
  <sheetViews>
    <sheetView zoomScaleNormal="100" zoomScaleSheetLayoutView="100" workbookViewId="0">
      <selection activeCell="A2" sqref="A2:C2"/>
    </sheetView>
  </sheetViews>
  <sheetFormatPr defaultColWidth="9.109375" defaultRowHeight="11.4" x14ac:dyDescent="0.2"/>
  <cols>
    <col min="1" max="1" width="5.6640625" style="6" customWidth="1"/>
    <col min="2" max="2" width="8.33203125" style="6" customWidth="1"/>
    <col min="3" max="3" width="58.109375" style="6" customWidth="1"/>
    <col min="4" max="4" width="5.5546875" style="6" customWidth="1"/>
    <col min="5" max="5" width="6.5546875" style="6" customWidth="1"/>
    <col min="6" max="6" width="12.5546875" style="6" customWidth="1"/>
    <col min="7" max="7" width="12.109375" style="6" customWidth="1"/>
    <col min="8" max="8" width="4.44140625" style="6" customWidth="1"/>
    <col min="9" max="9" width="11.109375" style="6" customWidth="1"/>
    <col min="10" max="10" width="14.5546875" style="6" customWidth="1"/>
    <col min="11" max="11" width="8.88671875" style="6" customWidth="1"/>
    <col min="12" max="12" width="11.6640625" style="6" customWidth="1"/>
    <col min="13" max="13" width="8.44140625" style="6" customWidth="1"/>
    <col min="14" max="14" width="9" style="6" customWidth="1"/>
    <col min="15" max="15" width="8" style="6" customWidth="1"/>
    <col min="16" max="16" width="9.6640625" style="6" customWidth="1"/>
    <col min="17" max="17" width="16.33203125" style="6" customWidth="1"/>
    <col min="18" max="18" width="14.6640625" style="6" customWidth="1"/>
    <col min="19" max="19" width="13.109375" style="6" customWidth="1"/>
    <col min="20" max="20" width="11.109375" style="6" customWidth="1"/>
    <col min="21" max="21" width="9.109375" style="6"/>
    <col min="22" max="22" width="9.109375" style="6" customWidth="1"/>
    <col min="23" max="23" width="9.109375" style="6"/>
    <col min="24" max="24" width="5.44140625" style="6" customWidth="1"/>
    <col min="25" max="16384" width="9.109375" style="6"/>
  </cols>
  <sheetData>
    <row r="1" spans="1:18" ht="132.44999999999999" customHeight="1" x14ac:dyDescent="0.2">
      <c r="C1" s="405" t="s">
        <v>382</v>
      </c>
      <c r="D1" s="405"/>
      <c r="E1" s="405"/>
      <c r="F1" s="405"/>
      <c r="G1" s="405"/>
      <c r="H1" s="10"/>
      <c r="I1" s="10"/>
      <c r="J1" s="10"/>
      <c r="K1" s="10"/>
      <c r="N1" s="68"/>
    </row>
    <row r="2" spans="1:18" ht="14.4" x14ac:dyDescent="0.3">
      <c r="A2" s="408" t="s">
        <v>420</v>
      </c>
      <c r="B2" s="409"/>
      <c r="C2" s="409"/>
    </row>
    <row r="3" spans="1:18" x14ac:dyDescent="0.2">
      <c r="A3" s="2"/>
    </row>
    <row r="4" spans="1:18" ht="14.4" x14ac:dyDescent="0.3">
      <c r="A4" s="419" t="s">
        <v>114</v>
      </c>
      <c r="B4" s="409"/>
      <c r="C4" s="409"/>
    </row>
    <row r="5" spans="1:18" ht="14.4" x14ac:dyDescent="0.3">
      <c r="A5" s="419" t="s">
        <v>379</v>
      </c>
      <c r="B5" s="409"/>
      <c r="C5" s="409"/>
    </row>
    <row r="6" spans="1:18" ht="14.4" x14ac:dyDescent="0.3">
      <c r="A6" s="419" t="s">
        <v>15</v>
      </c>
      <c r="B6" s="409"/>
      <c r="C6" s="409"/>
    </row>
    <row r="7" spans="1:18" ht="14.4" x14ac:dyDescent="0.3">
      <c r="A7" s="420" t="s">
        <v>13</v>
      </c>
      <c r="B7" s="421"/>
      <c r="C7" s="421"/>
    </row>
    <row r="8" spans="1:18" ht="14.4" x14ac:dyDescent="0.3">
      <c r="A8" s="419" t="s">
        <v>316</v>
      </c>
      <c r="B8" s="409"/>
      <c r="C8" s="409"/>
    </row>
    <row r="10" spans="1:18" ht="31.5" customHeight="1" thickBot="1" x14ac:dyDescent="0.25">
      <c r="A10" s="406" t="s">
        <v>0</v>
      </c>
      <c r="B10" s="406"/>
      <c r="C10" s="406"/>
      <c r="D10" s="406"/>
      <c r="E10" s="406"/>
      <c r="F10" s="406"/>
      <c r="G10" s="12" t="s">
        <v>186</v>
      </c>
      <c r="H10" s="4"/>
      <c r="I10" s="4"/>
      <c r="J10" s="5"/>
      <c r="K10" s="5"/>
      <c r="L10" s="5"/>
      <c r="M10" s="5"/>
      <c r="N10" s="5"/>
      <c r="O10" s="5"/>
      <c r="P10" s="5"/>
      <c r="Q10" s="5"/>
      <c r="R10" s="5"/>
    </row>
    <row r="11" spans="1:18" ht="25.5" customHeight="1" thickTop="1" thickBot="1" x14ac:dyDescent="0.25">
      <c r="A11" s="406" t="s">
        <v>24</v>
      </c>
      <c r="B11" s="406"/>
      <c r="C11" s="406"/>
      <c r="D11" s="406"/>
      <c r="E11" s="406"/>
      <c r="F11" s="406"/>
      <c r="G11" s="128">
        <f>K86</f>
        <v>0</v>
      </c>
      <c r="H11" s="4"/>
      <c r="I11" s="4"/>
      <c r="J11" s="5"/>
      <c r="K11" s="5"/>
      <c r="L11" s="5"/>
      <c r="M11" s="5"/>
      <c r="N11" s="5"/>
      <c r="O11" s="12"/>
      <c r="P11" s="5"/>
      <c r="Q11" s="5"/>
      <c r="R11" s="5"/>
    </row>
    <row r="12" spans="1:18" ht="39" customHeight="1" thickTop="1" x14ac:dyDescent="0.2">
      <c r="A12" s="4"/>
      <c r="B12" s="4"/>
      <c r="C12" s="4"/>
      <c r="D12" s="4"/>
      <c r="E12" s="4"/>
      <c r="F12" s="4"/>
      <c r="G12" s="4"/>
      <c r="H12" s="4"/>
      <c r="I12" s="4"/>
      <c r="J12" s="5"/>
      <c r="K12" s="5"/>
      <c r="L12" s="5"/>
      <c r="M12" s="5"/>
      <c r="N12" s="5"/>
      <c r="O12" s="50"/>
      <c r="P12" s="5"/>
      <c r="Q12" s="5"/>
      <c r="R12" s="5"/>
    </row>
    <row r="13" spans="1:18" ht="39" customHeight="1" x14ac:dyDescent="0.2">
      <c r="A13" s="4"/>
      <c r="B13" s="4"/>
      <c r="C13" s="4"/>
      <c r="D13" s="4"/>
      <c r="E13" s="4"/>
      <c r="F13" s="4"/>
      <c r="G13" s="4"/>
      <c r="H13" s="4"/>
      <c r="I13" s="4"/>
      <c r="J13" s="5"/>
      <c r="K13" s="5"/>
      <c r="L13" s="5"/>
      <c r="M13" s="5"/>
      <c r="N13" s="5"/>
      <c r="O13" s="48"/>
      <c r="P13" s="5"/>
      <c r="Q13" s="5"/>
      <c r="R13" s="5"/>
    </row>
    <row r="14" spans="1:18" ht="24" customHeight="1" x14ac:dyDescent="0.2">
      <c r="A14" s="4"/>
      <c r="B14" s="4"/>
      <c r="C14" s="12"/>
      <c r="D14" s="12"/>
      <c r="E14" s="129"/>
      <c r="F14" s="12" t="s">
        <v>331</v>
      </c>
      <c r="G14" s="12"/>
      <c r="H14" s="4"/>
      <c r="I14" s="3" t="s">
        <v>377</v>
      </c>
      <c r="J14" s="12" t="s">
        <v>220</v>
      </c>
      <c r="K14" s="9"/>
      <c r="L14" s="129" t="s">
        <v>101</v>
      </c>
      <c r="M14" s="5"/>
      <c r="N14" s="217" t="s">
        <v>100</v>
      </c>
      <c r="O14" s="12"/>
      <c r="P14" s="97" t="s">
        <v>329</v>
      </c>
    </row>
    <row r="15" spans="1:18" ht="20.25" customHeight="1" x14ac:dyDescent="0.4">
      <c r="A15" s="398" t="s">
        <v>60</v>
      </c>
      <c r="B15" s="399"/>
      <c r="C15" s="399"/>
      <c r="D15" s="399"/>
      <c r="E15" s="399"/>
      <c r="F15" s="399"/>
      <c r="G15" s="399"/>
      <c r="H15" s="4"/>
      <c r="I15" s="4"/>
      <c r="J15" s="5"/>
      <c r="K15" s="5"/>
      <c r="L15" s="5"/>
      <c r="M15" s="5"/>
      <c r="N15" s="5"/>
      <c r="O15" s="5"/>
      <c r="P15" s="5"/>
      <c r="Q15" s="5"/>
      <c r="R15" s="5"/>
    </row>
    <row r="16" spans="1:18" ht="12.75" customHeight="1" thickBot="1" x14ac:dyDescent="0.45">
      <c r="A16" s="410"/>
      <c r="B16" s="411"/>
      <c r="C16" s="411"/>
      <c r="D16" s="411"/>
      <c r="E16" s="411"/>
      <c r="F16" s="411"/>
      <c r="G16" s="411"/>
      <c r="H16" s="5"/>
      <c r="I16" s="5"/>
      <c r="J16" s="5"/>
      <c r="K16" s="5"/>
      <c r="L16" s="5"/>
      <c r="M16" s="5"/>
      <c r="N16" s="5"/>
      <c r="O16" s="5"/>
      <c r="P16" s="5"/>
      <c r="Q16" s="5"/>
      <c r="R16" s="5"/>
    </row>
    <row r="17" spans="1:18" ht="23.25" customHeight="1" thickTop="1" thickBot="1" x14ac:dyDescent="0.25">
      <c r="A17" s="32" t="s">
        <v>1</v>
      </c>
      <c r="B17" s="407" t="s">
        <v>3</v>
      </c>
      <c r="C17" s="407" t="s">
        <v>4</v>
      </c>
      <c r="D17" s="407" t="s">
        <v>5</v>
      </c>
      <c r="E17" s="407" t="s">
        <v>6</v>
      </c>
      <c r="F17" s="32" t="s">
        <v>7</v>
      </c>
      <c r="G17" s="32" t="s">
        <v>9</v>
      </c>
      <c r="H17" s="5"/>
      <c r="I17" s="5"/>
      <c r="J17" s="5"/>
      <c r="K17" s="5"/>
      <c r="L17" s="5"/>
      <c r="M17" s="5"/>
      <c r="N17" s="5"/>
      <c r="O17" s="5"/>
      <c r="P17" s="5"/>
      <c r="Q17" s="5"/>
      <c r="R17" s="5"/>
    </row>
    <row r="18" spans="1:18" ht="24.75" customHeight="1" thickTop="1" thickBot="1" x14ac:dyDescent="0.25">
      <c r="A18" s="32" t="s">
        <v>2</v>
      </c>
      <c r="B18" s="407"/>
      <c r="C18" s="407"/>
      <c r="D18" s="407"/>
      <c r="E18" s="407"/>
      <c r="F18" s="32" t="s">
        <v>8</v>
      </c>
      <c r="G18" s="32" t="s">
        <v>8</v>
      </c>
      <c r="H18" s="281"/>
      <c r="I18" s="5"/>
      <c r="J18" s="5"/>
      <c r="K18" s="5"/>
      <c r="L18" s="5"/>
      <c r="M18" s="353" t="s">
        <v>336</v>
      </c>
      <c r="N18" s="5"/>
      <c r="O18" s="5"/>
      <c r="P18" s="5"/>
      <c r="Q18" s="5"/>
      <c r="R18" s="5"/>
    </row>
    <row r="19" spans="1:18" ht="20.100000000000001" customHeight="1" thickTop="1" thickBot="1" x14ac:dyDescent="0.25">
      <c r="A19" s="163" t="s">
        <v>146</v>
      </c>
      <c r="B19" s="162"/>
      <c r="C19" s="162"/>
      <c r="D19" s="162"/>
      <c r="E19" s="162"/>
      <c r="F19" s="162"/>
      <c r="G19" s="21"/>
      <c r="H19" s="241">
        <f>SUM(H20:H29)</f>
        <v>0</v>
      </c>
      <c r="I19" s="5"/>
      <c r="J19" s="5"/>
      <c r="K19" s="5"/>
      <c r="L19" s="5"/>
      <c r="M19" s="142" t="s">
        <v>63</v>
      </c>
      <c r="N19" s="5"/>
      <c r="O19" s="5"/>
      <c r="P19" s="5"/>
      <c r="Q19" s="5"/>
      <c r="R19" s="5"/>
    </row>
    <row r="20" spans="1:18" ht="16.5" customHeight="1" thickTop="1" thickBot="1" x14ac:dyDescent="0.25">
      <c r="A20" s="22"/>
      <c r="B20" s="37">
        <v>340101</v>
      </c>
      <c r="C20" s="38" t="s">
        <v>47</v>
      </c>
      <c r="D20" s="39" t="s">
        <v>10</v>
      </c>
      <c r="E20" s="140">
        <f>COUNTIF(M59:M85,1)+COUNTIF(N59:N85,1)+COUNTIF(O59:O85,1)</f>
        <v>0</v>
      </c>
      <c r="F20" s="350">
        <v>36</v>
      </c>
      <c r="G20" s="153">
        <f t="shared" ref="G20:G29" si="0">E20*F20</f>
        <v>0</v>
      </c>
      <c r="H20" s="48">
        <f t="shared" ref="H20:H29" si="1">E20</f>
        <v>0</v>
      </c>
      <c r="I20" s="5"/>
      <c r="J20" s="5"/>
      <c r="K20" s="5"/>
      <c r="L20" s="5"/>
      <c r="M20" s="142">
        <f>E20*140</f>
        <v>0</v>
      </c>
      <c r="N20" s="5"/>
      <c r="O20" s="5"/>
      <c r="P20" s="5"/>
      <c r="Q20" s="5"/>
      <c r="R20" s="5"/>
    </row>
    <row r="21" spans="1:18" ht="16.5" customHeight="1" thickTop="1" thickBot="1" x14ac:dyDescent="0.25">
      <c r="A21" s="22"/>
      <c r="B21" s="37">
        <v>340201</v>
      </c>
      <c r="C21" s="38" t="s">
        <v>48</v>
      </c>
      <c r="D21" s="39" t="s">
        <v>10</v>
      </c>
      <c r="E21" s="140">
        <f>COUNTIF(M59:M85,2)+COUNTIF(N59:N85,2)+COUNTIF(O59:O85,2)</f>
        <v>0</v>
      </c>
      <c r="F21" s="350">
        <v>60</v>
      </c>
      <c r="G21" s="153">
        <f t="shared" si="0"/>
        <v>0</v>
      </c>
      <c r="H21" s="48">
        <f t="shared" si="1"/>
        <v>0</v>
      </c>
      <c r="I21" s="5"/>
      <c r="J21" s="5"/>
      <c r="K21" s="5"/>
      <c r="L21" s="5"/>
      <c r="M21" s="142">
        <f>E21*280</f>
        <v>0</v>
      </c>
      <c r="N21" s="5"/>
      <c r="O21" s="5"/>
      <c r="P21" s="5"/>
      <c r="Q21" s="5"/>
      <c r="R21" s="5"/>
    </row>
    <row r="22" spans="1:18" ht="16.5" customHeight="1" thickTop="1" thickBot="1" x14ac:dyDescent="0.25">
      <c r="A22" s="22"/>
      <c r="B22" s="37">
        <v>340301</v>
      </c>
      <c r="C22" s="38" t="s">
        <v>49</v>
      </c>
      <c r="D22" s="39" t="s">
        <v>10</v>
      </c>
      <c r="E22" s="155">
        <f>COUNTIF(M59:M85,3)+COUNTIF(N59:N85,3)+COUNTIF(O59:O85,3)</f>
        <v>0</v>
      </c>
      <c r="F22" s="350">
        <v>84</v>
      </c>
      <c r="G22" s="153">
        <f t="shared" si="0"/>
        <v>0</v>
      </c>
      <c r="H22" s="48">
        <f t="shared" si="1"/>
        <v>0</v>
      </c>
      <c r="I22" s="5"/>
      <c r="J22" s="5"/>
      <c r="K22" s="5"/>
      <c r="L22" s="5"/>
      <c r="M22" s="142">
        <f>E22*420</f>
        <v>0</v>
      </c>
      <c r="N22" s="5"/>
      <c r="O22" s="5"/>
      <c r="P22" s="5"/>
      <c r="Q22" s="5"/>
      <c r="R22" s="5"/>
    </row>
    <row r="23" spans="1:18" ht="16.5" customHeight="1" thickTop="1" thickBot="1" x14ac:dyDescent="0.25">
      <c r="A23" s="22"/>
      <c r="B23" s="37">
        <v>340401</v>
      </c>
      <c r="C23" s="38" t="s">
        <v>50</v>
      </c>
      <c r="D23" s="39" t="s">
        <v>10</v>
      </c>
      <c r="E23" s="155">
        <f>COUNTIF(M59:M85,4)+COUNTIF(N59:N85,4)+COUNTIF(O59:O85,4)</f>
        <v>0</v>
      </c>
      <c r="F23" s="350">
        <v>110</v>
      </c>
      <c r="G23" s="153">
        <f t="shared" si="0"/>
        <v>0</v>
      </c>
      <c r="H23" s="48">
        <f t="shared" si="1"/>
        <v>0</v>
      </c>
      <c r="I23" s="5"/>
      <c r="J23" s="5"/>
      <c r="K23" s="5"/>
      <c r="L23" s="5"/>
      <c r="M23" s="142">
        <f>E23*560</f>
        <v>0</v>
      </c>
      <c r="N23" s="5"/>
      <c r="O23" s="5"/>
      <c r="P23" s="5"/>
      <c r="Q23" s="5"/>
      <c r="R23" s="5"/>
    </row>
    <row r="24" spans="1:18" ht="16.5" customHeight="1" thickTop="1" thickBot="1" x14ac:dyDescent="0.25">
      <c r="A24" s="22"/>
      <c r="B24" s="37">
        <v>340501</v>
      </c>
      <c r="C24" s="38" t="s">
        <v>51</v>
      </c>
      <c r="D24" s="39" t="s">
        <v>10</v>
      </c>
      <c r="E24" s="155">
        <f>COUNTIF(M59:M85,5)+COUNTIF(N59:N85,5)+COUNTIF(O59:O85,5)</f>
        <v>0</v>
      </c>
      <c r="F24" s="350">
        <v>131</v>
      </c>
      <c r="G24" s="153">
        <f t="shared" si="0"/>
        <v>0</v>
      </c>
      <c r="H24" s="48">
        <f t="shared" si="1"/>
        <v>0</v>
      </c>
      <c r="I24" s="5"/>
      <c r="J24" s="5"/>
      <c r="K24" s="5"/>
      <c r="L24" s="5"/>
      <c r="M24" s="142">
        <f>E24*700</f>
        <v>0</v>
      </c>
      <c r="N24" s="5"/>
      <c r="O24" s="5"/>
      <c r="P24" s="5"/>
      <c r="Q24" s="5"/>
      <c r="R24" s="5"/>
    </row>
    <row r="25" spans="1:18" ht="16.5" customHeight="1" thickTop="1" thickBot="1" x14ac:dyDescent="0.25">
      <c r="A25" s="22"/>
      <c r="B25" s="37">
        <v>340601</v>
      </c>
      <c r="C25" s="38" t="s">
        <v>52</v>
      </c>
      <c r="D25" s="39" t="s">
        <v>10</v>
      </c>
      <c r="E25" s="155">
        <f>COUNTIF(M59:M85,6)+COUNTIF(N59:N85,6)+COUNTIF(O59:O85,6)</f>
        <v>0</v>
      </c>
      <c r="F25" s="350">
        <v>160</v>
      </c>
      <c r="G25" s="153">
        <f t="shared" si="0"/>
        <v>0</v>
      </c>
      <c r="H25" s="48">
        <f t="shared" si="1"/>
        <v>0</v>
      </c>
      <c r="I25" s="5"/>
      <c r="J25" s="5"/>
      <c r="K25" s="5"/>
      <c r="L25" s="5"/>
      <c r="M25" s="142">
        <f>E25*840</f>
        <v>0</v>
      </c>
      <c r="N25" s="5"/>
      <c r="O25" s="5"/>
      <c r="P25" s="5"/>
      <c r="Q25" s="5"/>
      <c r="R25" s="5"/>
    </row>
    <row r="26" spans="1:18" ht="16.5" customHeight="1" thickTop="1" thickBot="1" x14ac:dyDescent="0.25">
      <c r="A26" s="22"/>
      <c r="B26" s="37">
        <v>340701</v>
      </c>
      <c r="C26" s="38" t="s">
        <v>53</v>
      </c>
      <c r="D26" s="39" t="s">
        <v>10</v>
      </c>
      <c r="E26" s="155">
        <f>COUNTIF(M59:M85,7)+COUNTIF(N59:N85,7)+COUNTIF(O59:O85,7)</f>
        <v>0</v>
      </c>
      <c r="F26" s="350">
        <v>180</v>
      </c>
      <c r="G26" s="153">
        <f t="shared" si="0"/>
        <v>0</v>
      </c>
      <c r="H26" s="48">
        <f t="shared" si="1"/>
        <v>0</v>
      </c>
      <c r="I26" s="5"/>
      <c r="J26" s="5"/>
      <c r="K26" s="5"/>
      <c r="L26" s="5"/>
      <c r="M26" s="142">
        <f>E26*980</f>
        <v>0</v>
      </c>
      <c r="N26" s="5"/>
      <c r="O26" s="5"/>
      <c r="P26" s="5"/>
      <c r="Q26" s="5"/>
      <c r="R26" s="5"/>
    </row>
    <row r="27" spans="1:18" ht="16.5" customHeight="1" thickTop="1" thickBot="1" x14ac:dyDescent="0.25">
      <c r="A27" s="22"/>
      <c r="B27" s="37">
        <v>340801</v>
      </c>
      <c r="C27" s="38" t="s">
        <v>54</v>
      </c>
      <c r="D27" s="39" t="s">
        <v>10</v>
      </c>
      <c r="E27" s="155">
        <f>COUNTIF(M59:M85,8)+COUNTIF(N59:N85,8)+COUNTIF(O59:O85,8)</f>
        <v>0</v>
      </c>
      <c r="F27" s="350">
        <v>192</v>
      </c>
      <c r="G27" s="153">
        <f t="shared" si="0"/>
        <v>0</v>
      </c>
      <c r="H27" s="48">
        <f t="shared" si="1"/>
        <v>0</v>
      </c>
      <c r="I27" s="5"/>
      <c r="J27" s="5"/>
      <c r="K27" s="5"/>
      <c r="L27" s="5"/>
      <c r="M27" s="142">
        <f>E27*1120</f>
        <v>0</v>
      </c>
      <c r="N27" s="5"/>
      <c r="O27" s="5"/>
      <c r="P27" s="5"/>
      <c r="Q27" s="5"/>
      <c r="R27" s="5"/>
    </row>
    <row r="28" spans="1:18" ht="16.5" customHeight="1" thickTop="1" thickBot="1" x14ac:dyDescent="0.25">
      <c r="A28" s="22"/>
      <c r="B28" s="37">
        <v>340901</v>
      </c>
      <c r="C28" s="38" t="s">
        <v>55</v>
      </c>
      <c r="D28" s="39" t="s">
        <v>10</v>
      </c>
      <c r="E28" s="155">
        <f>COUNTIF(M59:M85,9)+COUNTIF(N59:N85,9)+COUNTIF(O59:O85,9)</f>
        <v>0</v>
      </c>
      <c r="F28" s="350">
        <v>218</v>
      </c>
      <c r="G28" s="153">
        <f t="shared" si="0"/>
        <v>0</v>
      </c>
      <c r="H28" s="48">
        <f t="shared" si="1"/>
        <v>0</v>
      </c>
      <c r="I28" s="5"/>
      <c r="J28" s="5"/>
      <c r="K28" s="5"/>
      <c r="L28" s="5"/>
      <c r="M28" s="142">
        <f>E28*1260</f>
        <v>0</v>
      </c>
      <c r="N28" s="5"/>
      <c r="O28" s="5"/>
      <c r="P28" s="5"/>
      <c r="Q28" s="5"/>
      <c r="R28" s="5"/>
    </row>
    <row r="29" spans="1:18" ht="16.5" customHeight="1" thickTop="1" thickBot="1" x14ac:dyDescent="0.25">
      <c r="A29" s="22"/>
      <c r="B29" s="37">
        <v>341001</v>
      </c>
      <c r="C29" s="38" t="s">
        <v>56</v>
      </c>
      <c r="D29" s="39" t="s">
        <v>10</v>
      </c>
      <c r="E29" s="155">
        <f>COUNTIF(M59:M85,10)+COUNTIF(N59:N85,10)+COUNTIF(O59:O85,10)</f>
        <v>0</v>
      </c>
      <c r="F29" s="350">
        <v>244</v>
      </c>
      <c r="G29" s="153">
        <f t="shared" si="0"/>
        <v>0</v>
      </c>
      <c r="H29" s="48">
        <f t="shared" si="1"/>
        <v>0</v>
      </c>
      <c r="I29" s="5"/>
      <c r="J29" s="5"/>
      <c r="K29" s="5"/>
      <c r="L29" s="5"/>
      <c r="M29" s="142">
        <f>E29*1400</f>
        <v>0</v>
      </c>
      <c r="N29" s="5"/>
      <c r="O29" s="5"/>
      <c r="P29" s="5"/>
      <c r="Q29" s="5"/>
      <c r="R29" s="5"/>
    </row>
    <row r="30" spans="1:18" ht="20.100000000000001" customHeight="1" thickTop="1" thickBot="1" x14ac:dyDescent="0.25">
      <c r="A30" s="159" t="s">
        <v>138</v>
      </c>
      <c r="B30" s="181"/>
      <c r="C30" s="181"/>
      <c r="D30" s="181"/>
      <c r="E30" s="181"/>
      <c r="F30" s="291"/>
      <c r="G30" s="21"/>
      <c r="H30" s="241">
        <f>SUM(H31:H38)</f>
        <v>0</v>
      </c>
      <c r="I30" s="5"/>
      <c r="J30" s="5"/>
      <c r="K30" s="5"/>
      <c r="L30" s="5"/>
      <c r="M30" s="5"/>
      <c r="N30" s="5" t="s">
        <v>14</v>
      </c>
      <c r="O30" s="5"/>
      <c r="P30" s="5"/>
      <c r="Q30" s="5"/>
      <c r="R30" s="5"/>
    </row>
    <row r="31" spans="1:18" ht="30" customHeight="1" thickTop="1" thickBot="1" x14ac:dyDescent="0.25">
      <c r="A31" s="22"/>
      <c r="B31" s="22">
        <v>825400</v>
      </c>
      <c r="C31" s="66" t="s">
        <v>380</v>
      </c>
      <c r="D31" s="22" t="s">
        <v>10</v>
      </c>
      <c r="E31" s="22">
        <f>P86</f>
        <v>0</v>
      </c>
      <c r="F31" s="352">
        <v>102</v>
      </c>
      <c r="G31" s="153">
        <f t="shared" ref="G31:G37" si="2">E31*F31</f>
        <v>0</v>
      </c>
      <c r="H31" s="283">
        <f>E31</f>
        <v>0</v>
      </c>
      <c r="J31" s="5"/>
      <c r="M31" s="310"/>
    </row>
    <row r="32" spans="1:18" ht="30" customHeight="1" thickTop="1" thickBot="1" x14ac:dyDescent="0.25">
      <c r="A32" s="22"/>
      <c r="B32" s="22">
        <v>825880</v>
      </c>
      <c r="C32" s="66" t="s">
        <v>103</v>
      </c>
      <c r="D32" s="22" t="s">
        <v>10</v>
      </c>
      <c r="E32" s="22">
        <f>P86</f>
        <v>0</v>
      </c>
      <c r="F32" s="352">
        <v>92</v>
      </c>
      <c r="G32" s="153">
        <f t="shared" si="2"/>
        <v>0</v>
      </c>
      <c r="H32" s="283">
        <f t="shared" ref="H32:H39" si="3">E32</f>
        <v>0</v>
      </c>
      <c r="J32" s="5"/>
      <c r="M32" s="190"/>
    </row>
    <row r="33" spans="1:13" ht="30" customHeight="1" thickTop="1" thickBot="1" x14ac:dyDescent="0.25">
      <c r="A33" s="22"/>
      <c r="B33" s="22">
        <v>825870</v>
      </c>
      <c r="C33" s="66" t="s">
        <v>366</v>
      </c>
      <c r="D33" s="22" t="s">
        <v>10</v>
      </c>
      <c r="E33" s="22">
        <f>P86</f>
        <v>0</v>
      </c>
      <c r="F33" s="352">
        <v>84</v>
      </c>
      <c r="G33" s="153">
        <f t="shared" si="2"/>
        <v>0</v>
      </c>
      <c r="H33" s="283">
        <f t="shared" si="3"/>
        <v>0</v>
      </c>
      <c r="J33" s="5"/>
      <c r="M33" s="190"/>
    </row>
    <row r="34" spans="1:13" ht="30" customHeight="1" thickTop="1" thickBot="1" x14ac:dyDescent="0.25">
      <c r="A34" s="22"/>
      <c r="B34" s="26">
        <v>825840</v>
      </c>
      <c r="C34" s="29" t="s">
        <v>327</v>
      </c>
      <c r="D34" s="30" t="s">
        <v>10</v>
      </c>
      <c r="E34" s="22">
        <f>P86</f>
        <v>0</v>
      </c>
      <c r="F34" s="352">
        <v>45</v>
      </c>
      <c r="G34" s="88">
        <f t="shared" si="2"/>
        <v>0</v>
      </c>
      <c r="H34" s="283">
        <f t="shared" si="3"/>
        <v>0</v>
      </c>
      <c r="J34" s="5"/>
    </row>
    <row r="35" spans="1:13" ht="30" customHeight="1" thickTop="1" thickBot="1" x14ac:dyDescent="0.25">
      <c r="A35" s="22"/>
      <c r="B35" s="26">
        <v>827000</v>
      </c>
      <c r="C35" s="27" t="s">
        <v>365</v>
      </c>
      <c r="D35" s="28" t="s">
        <v>10</v>
      </c>
      <c r="E35" s="22">
        <f>P86</f>
        <v>0</v>
      </c>
      <c r="F35" s="352">
        <v>25</v>
      </c>
      <c r="G35" s="88">
        <f t="shared" si="2"/>
        <v>0</v>
      </c>
      <c r="H35" s="283">
        <f t="shared" si="3"/>
        <v>0</v>
      </c>
      <c r="J35" s="5"/>
    </row>
    <row r="36" spans="1:13" ht="30" customHeight="1" thickTop="1" thickBot="1" x14ac:dyDescent="0.25">
      <c r="A36" s="22"/>
      <c r="B36" s="26">
        <v>838101</v>
      </c>
      <c r="C36" s="29" t="s">
        <v>59</v>
      </c>
      <c r="D36" s="30" t="s">
        <v>10</v>
      </c>
      <c r="E36" s="22">
        <f>P86</f>
        <v>0</v>
      </c>
      <c r="F36" s="352">
        <v>26</v>
      </c>
      <c r="G36" s="88">
        <f t="shared" si="2"/>
        <v>0</v>
      </c>
      <c r="H36" s="283">
        <f t="shared" si="3"/>
        <v>0</v>
      </c>
      <c r="J36" s="5"/>
    </row>
    <row r="37" spans="1:13" ht="16.5" customHeight="1" thickTop="1" thickBot="1" x14ac:dyDescent="0.25">
      <c r="A37" s="22"/>
      <c r="B37" s="26">
        <v>860199</v>
      </c>
      <c r="C37" s="29" t="s">
        <v>328</v>
      </c>
      <c r="D37" s="30" t="s">
        <v>10</v>
      </c>
      <c r="E37" s="30"/>
      <c r="F37" s="352">
        <v>13</v>
      </c>
      <c r="G37" s="154">
        <f t="shared" si="2"/>
        <v>0</v>
      </c>
      <c r="H37" s="283">
        <f t="shared" si="3"/>
        <v>0</v>
      </c>
      <c r="J37" s="5"/>
    </row>
    <row r="38" spans="1:13" ht="16.5" customHeight="1" thickTop="1" thickBot="1" x14ac:dyDescent="0.25">
      <c r="A38" s="22"/>
      <c r="B38" s="41">
        <v>730300</v>
      </c>
      <c r="C38" s="42" t="s">
        <v>104</v>
      </c>
      <c r="D38" s="43" t="s">
        <v>57</v>
      </c>
      <c r="E38" s="40">
        <f>(ROUNDUP(K86*1.05/6,0))</f>
        <v>0</v>
      </c>
      <c r="F38" s="352">
        <v>28</v>
      </c>
      <c r="G38" s="153">
        <f t="shared" ref="G38:G39" si="4">E38*F38</f>
        <v>0</v>
      </c>
      <c r="H38" s="283">
        <f t="shared" si="3"/>
        <v>0</v>
      </c>
      <c r="J38" s="5"/>
    </row>
    <row r="39" spans="1:13" ht="16.5" customHeight="1" thickTop="1" thickBot="1" x14ac:dyDescent="0.25">
      <c r="A39" s="31"/>
      <c r="B39" s="60">
        <v>720200</v>
      </c>
      <c r="C39" s="61" t="s">
        <v>386</v>
      </c>
      <c r="D39" s="60" t="s">
        <v>28</v>
      </c>
      <c r="E39" s="109">
        <v>0</v>
      </c>
      <c r="F39" s="348">
        <v>5</v>
      </c>
      <c r="G39" s="88">
        <f t="shared" si="4"/>
        <v>0</v>
      </c>
      <c r="H39" s="48">
        <f t="shared" si="3"/>
        <v>0</v>
      </c>
    </row>
    <row r="40" spans="1:13" ht="16.5" customHeight="1" thickTop="1" thickBot="1" x14ac:dyDescent="0.25">
      <c r="A40" s="390" t="s">
        <v>16</v>
      </c>
      <c r="B40" s="391"/>
      <c r="C40" s="391"/>
      <c r="D40" s="391"/>
      <c r="E40" s="391"/>
      <c r="F40" s="392"/>
      <c r="G40" s="88">
        <f>SUM(G20:G39)</f>
        <v>0</v>
      </c>
      <c r="H40" s="56" t="s">
        <v>66</v>
      </c>
    </row>
    <row r="41" spans="1:13" ht="16.5" customHeight="1" thickTop="1" thickBot="1" x14ac:dyDescent="0.25">
      <c r="A41" s="67">
        <v>0.05</v>
      </c>
      <c r="B41" s="391" t="s">
        <v>67</v>
      </c>
      <c r="C41" s="393"/>
      <c r="D41" s="393"/>
      <c r="E41" s="393"/>
      <c r="F41" s="393"/>
      <c r="G41" s="89">
        <f>G40*(1-A41)</f>
        <v>0</v>
      </c>
      <c r="H41" s="56" t="s">
        <v>66</v>
      </c>
    </row>
    <row r="42" spans="1:13" ht="16.5" customHeight="1" thickTop="1" thickBot="1" x14ac:dyDescent="0.25">
      <c r="A42" s="425" t="s">
        <v>17</v>
      </c>
      <c r="B42" s="426"/>
      <c r="C42" s="426"/>
      <c r="D42" s="426"/>
      <c r="E42" s="426"/>
      <c r="F42" s="427"/>
      <c r="G42" s="157">
        <f>G41*1.21</f>
        <v>0</v>
      </c>
      <c r="H42" s="56" t="s">
        <v>66</v>
      </c>
    </row>
    <row r="43" spans="1:13" ht="36" customHeight="1" thickTop="1" x14ac:dyDescent="0.2"/>
    <row r="44" spans="1:13" ht="15" hidden="1" customHeight="1" x14ac:dyDescent="0.2"/>
    <row r="45" spans="1:13" ht="22.05" customHeight="1" x14ac:dyDescent="0.2">
      <c r="A45" s="389" t="s">
        <v>18</v>
      </c>
      <c r="B45" s="389"/>
      <c r="C45" s="389"/>
      <c r="D45" s="389"/>
      <c r="E45" s="389"/>
      <c r="F45" s="389"/>
      <c r="G45" s="389"/>
    </row>
    <row r="46" spans="1:13" ht="26.25" customHeight="1" x14ac:dyDescent="0.2">
      <c r="A46" s="404" t="s">
        <v>61</v>
      </c>
      <c r="B46" s="404"/>
      <c r="C46" s="404"/>
      <c r="D46" s="404"/>
      <c r="E46" s="404"/>
      <c r="F46" s="404"/>
      <c r="G46" s="404"/>
    </row>
    <row r="47" spans="1:13" ht="17.25" customHeight="1" x14ac:dyDescent="0.2">
      <c r="A47" s="404" t="s">
        <v>337</v>
      </c>
      <c r="B47" s="404"/>
      <c r="C47" s="404"/>
      <c r="D47" s="404"/>
      <c r="E47" s="404"/>
      <c r="F47" s="404"/>
      <c r="G47" s="404"/>
    </row>
    <row r="48" spans="1:13" ht="20.100000000000001" customHeight="1" x14ac:dyDescent="0.3">
      <c r="A48" s="404" t="s">
        <v>266</v>
      </c>
      <c r="B48" s="404"/>
      <c r="C48" s="404"/>
      <c r="D48" s="235">
        <f>SUM(M20:M29)/1000</f>
        <v>0</v>
      </c>
      <c r="E48" s="49"/>
      <c r="F48" s="49"/>
      <c r="G48" s="49"/>
      <c r="H48" s="105"/>
    </row>
    <row r="49" spans="1:17" ht="20.100000000000001" customHeight="1" x14ac:dyDescent="0.2">
      <c r="A49" s="2" t="s">
        <v>19</v>
      </c>
      <c r="B49" s="4"/>
      <c r="C49" s="4"/>
      <c r="D49" s="4"/>
      <c r="E49" s="4"/>
      <c r="F49" s="4"/>
      <c r="G49" s="4"/>
    </row>
    <row r="50" spans="1:17" ht="20.100000000000001" customHeight="1" x14ac:dyDescent="0.2">
      <c r="A50" s="389" t="s">
        <v>20</v>
      </c>
      <c r="B50" s="389"/>
      <c r="C50" s="389"/>
      <c r="D50" s="389"/>
      <c r="E50" s="389"/>
      <c r="F50" s="389"/>
      <c r="G50" s="389"/>
    </row>
    <row r="51" spans="1:17" ht="20.100000000000001" customHeight="1" x14ac:dyDescent="0.2">
      <c r="A51" s="389" t="s">
        <v>21</v>
      </c>
      <c r="B51" s="389"/>
      <c r="C51" s="389"/>
      <c r="D51" s="389"/>
      <c r="E51" s="389"/>
      <c r="F51" s="389"/>
      <c r="G51" s="389"/>
    </row>
    <row r="52" spans="1:17" x14ac:dyDescent="0.2">
      <c r="A52" s="389" t="s">
        <v>22</v>
      </c>
      <c r="B52" s="389"/>
      <c r="C52" s="389"/>
      <c r="D52" s="389"/>
      <c r="E52" s="389"/>
      <c r="F52" s="389"/>
      <c r="G52" s="389"/>
    </row>
    <row r="53" spans="1:17" ht="14.4" x14ac:dyDescent="0.2">
      <c r="A53" s="3"/>
      <c r="B53" s="203"/>
      <c r="C53" s="203"/>
      <c r="D53" s="203"/>
      <c r="E53" s="203"/>
      <c r="F53" s="203"/>
      <c r="G53" s="203"/>
    </row>
    <row r="55" spans="1:17" x14ac:dyDescent="0.2">
      <c r="B55" s="1" t="s">
        <v>11</v>
      </c>
      <c r="C55" s="2"/>
    </row>
    <row r="56" spans="1:17" ht="15" thickBot="1" x14ac:dyDescent="0.25">
      <c r="B56" s="373"/>
      <c r="C56" s="374"/>
    </row>
    <row r="57" spans="1:17" ht="15" thickBot="1" x14ac:dyDescent="0.25">
      <c r="B57" s="240" t="s">
        <v>12</v>
      </c>
      <c r="J57" s="428" t="s">
        <v>179</v>
      </c>
      <c r="K57" s="429"/>
      <c r="L57" s="429"/>
      <c r="M57" s="429"/>
      <c r="N57" s="429"/>
      <c r="O57" s="429"/>
      <c r="P57" s="429"/>
      <c r="Q57" s="430"/>
    </row>
    <row r="58" spans="1:17" ht="42" thickTop="1" thickBot="1" x14ac:dyDescent="0.35">
      <c r="B58" s="418"/>
      <c r="C58" s="409"/>
      <c r="J58" s="247" t="s">
        <v>71</v>
      </c>
      <c r="K58" s="247" t="s">
        <v>148</v>
      </c>
      <c r="L58" s="247" t="s">
        <v>311</v>
      </c>
      <c r="M58" s="247" t="s">
        <v>139</v>
      </c>
      <c r="N58" s="247" t="s">
        <v>140</v>
      </c>
      <c r="O58" s="247" t="s">
        <v>141</v>
      </c>
      <c r="P58" s="244" t="s">
        <v>107</v>
      </c>
      <c r="Q58" s="247" t="s">
        <v>151</v>
      </c>
    </row>
    <row r="59" spans="1:17" ht="12.6" thickTop="1" thickBot="1" x14ac:dyDescent="0.25">
      <c r="B59" s="240"/>
      <c r="I59" s="65"/>
      <c r="J59" s="138" t="s">
        <v>125</v>
      </c>
      <c r="K59" s="122"/>
      <c r="L59" s="113" t="str">
        <f>IF(ISNUMBER(K59),K59*135/140,"")</f>
        <v/>
      </c>
      <c r="M59" s="191"/>
      <c r="N59" s="191"/>
      <c r="O59" s="191"/>
      <c r="P59" s="63" t="str">
        <f>IF(OR(ISNUMBER(M59), ISNUMBER(N59), ISNUMBER(O59)), 1, "")</f>
        <v/>
      </c>
      <c r="Q59" s="152" t="s">
        <v>301</v>
      </c>
    </row>
    <row r="60" spans="1:17" ht="12.6" thickTop="1" thickBot="1" x14ac:dyDescent="0.25">
      <c r="I60" s="112"/>
      <c r="J60" s="138" t="s">
        <v>81</v>
      </c>
      <c r="K60" s="122"/>
      <c r="L60" s="113" t="str">
        <f t="shared" ref="L60:L71" si="5">IF(ISNUMBER(K60),K60*135/140,"")</f>
        <v/>
      </c>
      <c r="M60" s="192"/>
      <c r="N60" s="192"/>
      <c r="O60" s="192"/>
      <c r="P60" s="63" t="str">
        <f t="shared" ref="P60:P71" si="6">IF(OR(ISNUMBER(M60), ISNUMBER(N60), ISNUMBER(O60)), 1, "")</f>
        <v/>
      </c>
      <c r="Q60" s="152" t="s">
        <v>302</v>
      </c>
    </row>
    <row r="61" spans="1:17" ht="12.6" thickTop="1" thickBot="1" x14ac:dyDescent="0.25">
      <c r="I61" s="112"/>
      <c r="J61" s="138" t="s">
        <v>82</v>
      </c>
      <c r="K61" s="122"/>
      <c r="L61" s="113" t="str">
        <f t="shared" si="5"/>
        <v/>
      </c>
      <c r="M61" s="192"/>
      <c r="N61" s="192"/>
      <c r="O61" s="192"/>
      <c r="P61" s="63" t="str">
        <f t="shared" si="6"/>
        <v/>
      </c>
      <c r="Q61" s="152" t="s">
        <v>303</v>
      </c>
    </row>
    <row r="62" spans="1:17" ht="12.6" thickTop="1" thickBot="1" x14ac:dyDescent="0.25">
      <c r="I62" s="112"/>
      <c r="J62" s="138" t="s">
        <v>83</v>
      </c>
      <c r="K62" s="122"/>
      <c r="L62" s="113" t="str">
        <f t="shared" si="5"/>
        <v/>
      </c>
      <c r="M62" s="192"/>
      <c r="N62" s="192"/>
      <c r="O62" s="192"/>
      <c r="P62" s="63" t="str">
        <f t="shared" si="6"/>
        <v/>
      </c>
      <c r="Q62" s="152" t="s">
        <v>304</v>
      </c>
    </row>
    <row r="63" spans="1:17" ht="12.6" thickTop="1" thickBot="1" x14ac:dyDescent="0.25">
      <c r="I63" s="112"/>
      <c r="J63" s="138" t="s">
        <v>80</v>
      </c>
      <c r="K63" s="122"/>
      <c r="L63" s="113" t="str">
        <f t="shared" si="5"/>
        <v/>
      </c>
      <c r="M63" s="192"/>
      <c r="N63" s="192"/>
      <c r="O63" s="192"/>
      <c r="P63" s="63" t="str">
        <f t="shared" si="6"/>
        <v/>
      </c>
      <c r="Q63" s="152" t="s">
        <v>305</v>
      </c>
    </row>
    <row r="64" spans="1:17" ht="12.6" thickTop="1" thickBot="1" x14ac:dyDescent="0.25">
      <c r="I64" s="112"/>
      <c r="J64" s="139" t="s">
        <v>73</v>
      </c>
      <c r="K64" s="122"/>
      <c r="L64" s="113" t="str">
        <f t="shared" si="5"/>
        <v/>
      </c>
      <c r="M64" s="192"/>
      <c r="N64" s="192"/>
      <c r="O64" s="192"/>
      <c r="P64" s="63" t="str">
        <f t="shared" si="6"/>
        <v/>
      </c>
      <c r="Q64" s="152" t="s">
        <v>306</v>
      </c>
    </row>
    <row r="65" spans="9:18" ht="12.6" thickTop="1" thickBot="1" x14ac:dyDescent="0.25">
      <c r="I65" s="112" t="s">
        <v>79</v>
      </c>
      <c r="J65" s="139" t="s">
        <v>74</v>
      </c>
      <c r="K65" s="122"/>
      <c r="L65" s="113" t="str">
        <f t="shared" si="5"/>
        <v/>
      </c>
      <c r="M65" s="192"/>
      <c r="N65" s="192"/>
      <c r="O65" s="192"/>
      <c r="P65" s="63" t="str">
        <f t="shared" si="6"/>
        <v/>
      </c>
      <c r="Q65" s="152" t="s">
        <v>307</v>
      </c>
    </row>
    <row r="66" spans="9:18" ht="12.6" thickTop="1" thickBot="1" x14ac:dyDescent="0.25">
      <c r="I66" s="145">
        <f>SUM(K59:K71)</f>
        <v>0</v>
      </c>
      <c r="J66" s="139" t="s">
        <v>115</v>
      </c>
      <c r="K66" s="122"/>
      <c r="L66" s="113" t="str">
        <f t="shared" si="5"/>
        <v/>
      </c>
      <c r="M66" s="192"/>
      <c r="N66" s="192"/>
      <c r="O66" s="192"/>
      <c r="P66" s="63" t="str">
        <f t="shared" si="6"/>
        <v/>
      </c>
      <c r="Q66" s="152" t="s">
        <v>308</v>
      </c>
    </row>
    <row r="67" spans="9:18" ht="12.6" thickTop="1" thickBot="1" x14ac:dyDescent="0.25">
      <c r="I67" s="112" t="s">
        <v>129</v>
      </c>
      <c r="J67" s="139" t="s">
        <v>77</v>
      </c>
      <c r="K67" s="122"/>
      <c r="L67" s="113" t="str">
        <f t="shared" si="5"/>
        <v/>
      </c>
      <c r="M67" s="192"/>
      <c r="N67" s="192"/>
      <c r="O67" s="192"/>
      <c r="P67" s="63" t="str">
        <f t="shared" si="6"/>
        <v/>
      </c>
      <c r="Q67" s="152" t="s">
        <v>309</v>
      </c>
    </row>
    <row r="68" spans="9:18" ht="13.2" thickTop="1" thickBot="1" x14ac:dyDescent="0.25">
      <c r="I68" s="133"/>
      <c r="J68" s="139" t="s">
        <v>76</v>
      </c>
      <c r="K68" s="122"/>
      <c r="L68" s="113" t="str">
        <f t="shared" si="5"/>
        <v/>
      </c>
      <c r="M68" s="192"/>
      <c r="N68" s="192"/>
      <c r="O68" s="192"/>
      <c r="P68" s="63" t="str">
        <f t="shared" si="6"/>
        <v/>
      </c>
      <c r="Q68" s="152" t="s">
        <v>310</v>
      </c>
    </row>
    <row r="69" spans="9:18" ht="13.2" thickTop="1" thickBot="1" x14ac:dyDescent="0.25">
      <c r="I69" s="133"/>
      <c r="J69" s="209" t="s">
        <v>75</v>
      </c>
      <c r="K69" s="122"/>
      <c r="L69" s="113" t="str">
        <f t="shared" si="5"/>
        <v/>
      </c>
      <c r="M69" s="192"/>
      <c r="N69" s="192"/>
      <c r="O69" s="192"/>
      <c r="P69" s="63" t="str">
        <f t="shared" si="6"/>
        <v/>
      </c>
      <c r="Q69" s="120"/>
      <c r="R69" s="151"/>
    </row>
    <row r="70" spans="9:18" ht="13.2" thickTop="1" thickBot="1" x14ac:dyDescent="0.25">
      <c r="I70" s="133"/>
      <c r="J70" s="209" t="s">
        <v>75</v>
      </c>
      <c r="K70" s="122"/>
      <c r="L70" s="113" t="str">
        <f t="shared" si="5"/>
        <v/>
      </c>
      <c r="M70" s="192"/>
      <c r="N70" s="192"/>
      <c r="O70" s="192"/>
      <c r="P70" s="63" t="str">
        <f t="shared" si="6"/>
        <v/>
      </c>
      <c r="Q70" s="120"/>
      <c r="R70" s="151"/>
    </row>
    <row r="71" spans="9:18" ht="13.2" thickTop="1" thickBot="1" x14ac:dyDescent="0.25">
      <c r="I71" s="136"/>
      <c r="J71" s="139" t="s">
        <v>75</v>
      </c>
      <c r="K71" s="122"/>
      <c r="L71" s="113" t="str">
        <f t="shared" si="5"/>
        <v/>
      </c>
      <c r="M71" s="192"/>
      <c r="N71" s="192"/>
      <c r="O71" s="192"/>
      <c r="P71" s="63" t="str">
        <f t="shared" si="6"/>
        <v/>
      </c>
      <c r="Q71" s="120"/>
      <c r="R71" s="151"/>
    </row>
    <row r="72" spans="9:18" ht="12.6" thickTop="1" thickBot="1" x14ac:dyDescent="0.25">
      <c r="J72" s="100"/>
      <c r="K72" s="131"/>
      <c r="L72" s="223"/>
      <c r="M72" s="167"/>
      <c r="N72" s="167"/>
      <c r="O72" s="167"/>
      <c r="P72" s="100"/>
      <c r="Q72" s="120"/>
      <c r="R72" s="151"/>
    </row>
    <row r="73" spans="9:18" ht="12.6" thickTop="1" thickBot="1" x14ac:dyDescent="0.25">
      <c r="I73" s="65"/>
      <c r="J73" s="138" t="s">
        <v>73</v>
      </c>
      <c r="K73" s="122"/>
      <c r="L73" s="113" t="str">
        <f>IF(ISNUMBER(K73),K73*135/140,"")</f>
        <v/>
      </c>
      <c r="M73" s="192"/>
      <c r="N73" s="192"/>
      <c r="O73" s="192"/>
      <c r="P73" s="63" t="str">
        <f>IF(OR(ISNUMBER(M73), ISNUMBER(N73), ISNUMBER(O73)), 1, "")</f>
        <v/>
      </c>
      <c r="Q73" s="120"/>
      <c r="R73" s="151"/>
    </row>
    <row r="74" spans="9:18" ht="12.6" thickTop="1" thickBot="1" x14ac:dyDescent="0.25">
      <c r="I74" s="112"/>
      <c r="J74" s="138" t="s">
        <v>85</v>
      </c>
      <c r="K74" s="122"/>
      <c r="L74" s="113" t="str">
        <f t="shared" ref="L74:L85" si="7">IF(ISNUMBER(K74),K74*135/140,"")</f>
        <v/>
      </c>
      <c r="M74" s="192"/>
      <c r="N74" s="192"/>
      <c r="O74" s="192"/>
      <c r="P74" s="63" t="str">
        <f t="shared" ref="P74:P85" si="8">IF(OR(ISNUMBER(M74), ISNUMBER(N74), ISNUMBER(O74)), 1, "")</f>
        <v/>
      </c>
      <c r="Q74" s="120"/>
      <c r="R74" s="151"/>
    </row>
    <row r="75" spans="9:18" ht="12.6" thickTop="1" thickBot="1" x14ac:dyDescent="0.25">
      <c r="I75" s="112"/>
      <c r="J75" s="138" t="s">
        <v>86</v>
      </c>
      <c r="K75" s="122"/>
      <c r="L75" s="113" t="str">
        <f t="shared" si="7"/>
        <v/>
      </c>
      <c r="M75" s="192"/>
      <c r="N75" s="192"/>
      <c r="O75" s="192"/>
      <c r="P75" s="63" t="str">
        <f t="shared" si="8"/>
        <v/>
      </c>
      <c r="Q75" s="120"/>
      <c r="R75" s="151"/>
    </row>
    <row r="76" spans="9:18" ht="12.6" thickTop="1" thickBot="1" x14ac:dyDescent="0.25">
      <c r="I76" s="112"/>
      <c r="J76" s="138" t="s">
        <v>75</v>
      </c>
      <c r="K76" s="122"/>
      <c r="L76" s="113" t="str">
        <f t="shared" si="7"/>
        <v/>
      </c>
      <c r="M76" s="192"/>
      <c r="N76" s="192"/>
      <c r="O76" s="192"/>
      <c r="P76" s="63" t="str">
        <f t="shared" si="8"/>
        <v/>
      </c>
      <c r="Q76" s="120"/>
      <c r="R76" s="100"/>
    </row>
    <row r="77" spans="9:18" ht="12.6" thickTop="1" thickBot="1" x14ac:dyDescent="0.25">
      <c r="I77" s="112" t="s">
        <v>84</v>
      </c>
      <c r="J77" s="138" t="s">
        <v>75</v>
      </c>
      <c r="K77" s="122"/>
      <c r="L77" s="113" t="str">
        <f t="shared" si="7"/>
        <v/>
      </c>
      <c r="M77" s="192"/>
      <c r="N77" s="192"/>
      <c r="O77" s="192"/>
      <c r="P77" s="63" t="str">
        <f t="shared" si="8"/>
        <v/>
      </c>
      <c r="Q77" s="120"/>
      <c r="R77" s="100"/>
    </row>
    <row r="78" spans="9:18" ht="12.6" thickTop="1" thickBot="1" x14ac:dyDescent="0.25">
      <c r="I78" s="145">
        <f>SUM(K73:K85)</f>
        <v>0</v>
      </c>
      <c r="J78" s="138" t="s">
        <v>75</v>
      </c>
      <c r="K78" s="122"/>
      <c r="L78" s="113" t="str">
        <f t="shared" si="7"/>
        <v/>
      </c>
      <c r="M78" s="192"/>
      <c r="N78" s="192"/>
      <c r="O78" s="192"/>
      <c r="P78" s="63" t="str">
        <f t="shared" si="8"/>
        <v/>
      </c>
      <c r="Q78" s="120"/>
      <c r="R78" s="100"/>
    </row>
    <row r="79" spans="9:18" ht="12.6" thickTop="1" thickBot="1" x14ac:dyDescent="0.25">
      <c r="I79" s="112" t="s">
        <v>129</v>
      </c>
      <c r="J79" s="138" t="s">
        <v>77</v>
      </c>
      <c r="K79" s="122"/>
      <c r="L79" s="113" t="str">
        <f t="shared" si="7"/>
        <v/>
      </c>
      <c r="M79" s="192"/>
      <c r="N79" s="192"/>
      <c r="O79" s="192"/>
      <c r="P79" s="63" t="str">
        <f t="shared" si="8"/>
        <v/>
      </c>
      <c r="Q79" s="120"/>
      <c r="R79" s="100"/>
    </row>
    <row r="80" spans="9:18" ht="13.2" thickTop="1" thickBot="1" x14ac:dyDescent="0.25">
      <c r="I80" s="133"/>
      <c r="J80" s="138" t="s">
        <v>77</v>
      </c>
      <c r="K80" s="122"/>
      <c r="L80" s="113" t="str">
        <f t="shared" si="7"/>
        <v/>
      </c>
      <c r="M80" s="191"/>
      <c r="N80" s="191"/>
      <c r="O80" s="191"/>
      <c r="P80" s="63" t="str">
        <f t="shared" si="8"/>
        <v/>
      </c>
      <c r="Q80" s="120"/>
      <c r="R80" s="100"/>
    </row>
    <row r="81" spans="9:23" ht="13.2" thickTop="1" thickBot="1" x14ac:dyDescent="0.25">
      <c r="I81" s="133"/>
      <c r="J81" s="138" t="s">
        <v>77</v>
      </c>
      <c r="K81" s="122"/>
      <c r="L81" s="113" t="str">
        <f t="shared" si="7"/>
        <v/>
      </c>
      <c r="M81" s="191"/>
      <c r="N81" s="191"/>
      <c r="O81" s="191"/>
      <c r="P81" s="63" t="str">
        <f t="shared" si="8"/>
        <v/>
      </c>
      <c r="Q81" s="120"/>
      <c r="R81" s="100"/>
    </row>
    <row r="82" spans="9:23" ht="13.2" thickTop="1" thickBot="1" x14ac:dyDescent="0.25">
      <c r="I82" s="133"/>
      <c r="J82" s="138" t="s">
        <v>73</v>
      </c>
      <c r="K82" s="122"/>
      <c r="L82" s="113" t="str">
        <f t="shared" si="7"/>
        <v/>
      </c>
      <c r="M82" s="191"/>
      <c r="N82" s="191"/>
      <c r="O82" s="191"/>
      <c r="P82" s="63" t="str">
        <f t="shared" si="8"/>
        <v/>
      </c>
      <c r="Q82" s="120"/>
      <c r="R82" s="100"/>
    </row>
    <row r="83" spans="9:23" ht="13.2" thickTop="1" thickBot="1" x14ac:dyDescent="0.25">
      <c r="I83" s="133"/>
      <c r="J83" s="139" t="s">
        <v>75</v>
      </c>
      <c r="K83" s="122"/>
      <c r="L83" s="113" t="str">
        <f t="shared" si="7"/>
        <v/>
      </c>
      <c r="M83" s="191"/>
      <c r="N83" s="191"/>
      <c r="O83" s="191"/>
      <c r="P83" s="63" t="str">
        <f t="shared" si="8"/>
        <v/>
      </c>
      <c r="Q83" s="120"/>
      <c r="R83" s="100"/>
    </row>
    <row r="84" spans="9:23" ht="12.6" thickTop="1" thickBot="1" x14ac:dyDescent="0.25">
      <c r="I84" s="206"/>
      <c r="J84" s="139" t="s">
        <v>75</v>
      </c>
      <c r="K84" s="122"/>
      <c r="L84" s="113" t="str">
        <f t="shared" si="7"/>
        <v/>
      </c>
      <c r="M84" s="191"/>
      <c r="N84" s="191"/>
      <c r="O84" s="191"/>
      <c r="P84" s="63" t="str">
        <f t="shared" si="8"/>
        <v/>
      </c>
    </row>
    <row r="85" spans="9:23" ht="12.6" thickTop="1" thickBot="1" x14ac:dyDescent="0.25">
      <c r="I85" s="206"/>
      <c r="J85" s="139" t="s">
        <v>75</v>
      </c>
      <c r="K85" s="122"/>
      <c r="L85" s="113" t="str">
        <f t="shared" si="7"/>
        <v/>
      </c>
      <c r="M85" s="191"/>
      <c r="N85" s="191"/>
      <c r="O85" s="191"/>
      <c r="P85" s="63" t="str">
        <f t="shared" si="8"/>
        <v/>
      </c>
    </row>
    <row r="86" spans="9:23" ht="15" thickTop="1" thickBot="1" x14ac:dyDescent="0.25">
      <c r="I86" s="207"/>
      <c r="J86" s="212" t="s">
        <v>209</v>
      </c>
      <c r="K86" s="183">
        <f>I66+I78</f>
        <v>0</v>
      </c>
      <c r="L86" s="271"/>
      <c r="M86" s="271"/>
      <c r="N86" s="271"/>
      <c r="O86" s="271"/>
      <c r="P86" s="197">
        <f>SUM(P59:P85)</f>
        <v>0</v>
      </c>
    </row>
    <row r="87" spans="9:23" ht="14.4" thickTop="1" x14ac:dyDescent="0.2">
      <c r="K87" s="99" t="s">
        <v>129</v>
      </c>
      <c r="L87" s="99"/>
      <c r="M87" s="99"/>
      <c r="N87" s="99"/>
      <c r="O87" s="99"/>
      <c r="P87" s="99" t="s">
        <v>128</v>
      </c>
    </row>
    <row r="96" spans="9:23" ht="14.4" x14ac:dyDescent="0.2">
      <c r="L96" s="130"/>
      <c r="M96" s="130"/>
      <c r="N96" s="130"/>
      <c r="O96" s="130"/>
      <c r="P96" s="130"/>
      <c r="Q96" s="169"/>
      <c r="R96" s="130"/>
      <c r="S96" s="423"/>
      <c r="T96" s="424"/>
      <c r="U96" s="424"/>
      <c r="V96" s="424"/>
      <c r="W96" s="424"/>
    </row>
    <row r="97" spans="12:24" ht="34.5" customHeight="1" x14ac:dyDescent="0.2">
      <c r="L97" s="130"/>
      <c r="M97" s="130"/>
      <c r="N97" s="130"/>
      <c r="O97" s="130"/>
      <c r="P97" s="130"/>
      <c r="Q97" s="100"/>
      <c r="R97" s="130"/>
      <c r="S97" s="100"/>
      <c r="T97" s="100"/>
      <c r="U97" s="100"/>
      <c r="V97" s="100"/>
      <c r="W97" s="100"/>
      <c r="X97" s="97"/>
    </row>
    <row r="98" spans="12:24" ht="14.25" customHeight="1" x14ac:dyDescent="0.2">
      <c r="L98" s="130"/>
      <c r="M98" s="168"/>
      <c r="N98" s="169"/>
      <c r="O98" s="169"/>
      <c r="P98" s="169"/>
      <c r="Q98" s="100"/>
      <c r="R98" s="423"/>
      <c r="S98" s="98"/>
      <c r="T98" s="100"/>
      <c r="U98" s="115"/>
      <c r="V98" s="167"/>
      <c r="W98" s="100"/>
      <c r="X98" s="97"/>
    </row>
    <row r="99" spans="12:24" ht="14.25" customHeight="1" x14ac:dyDescent="0.2">
      <c r="L99" s="130"/>
      <c r="M99" s="100"/>
      <c r="N99" s="100"/>
      <c r="O99" s="100"/>
      <c r="P99" s="100"/>
      <c r="Q99" s="100"/>
      <c r="R99" s="424"/>
      <c r="S99" s="98"/>
      <c r="T99" s="100"/>
      <c r="U99" s="115"/>
      <c r="V99" s="167"/>
      <c r="W99" s="100"/>
      <c r="X99" s="97"/>
    </row>
    <row r="100" spans="12:24" ht="14.25" customHeight="1" x14ac:dyDescent="0.2">
      <c r="L100" s="423"/>
      <c r="M100" s="98"/>
      <c r="N100" s="100"/>
      <c r="O100" s="115"/>
      <c r="P100" s="166"/>
      <c r="Q100" s="100"/>
      <c r="R100" s="424"/>
      <c r="S100" s="98"/>
      <c r="T100" s="167"/>
      <c r="U100" s="115"/>
      <c r="V100" s="167"/>
      <c r="W100" s="100"/>
      <c r="X100" s="97"/>
    </row>
    <row r="101" spans="12:24" ht="14.25" customHeight="1" x14ac:dyDescent="0.2">
      <c r="L101" s="424"/>
      <c r="M101" s="98"/>
      <c r="N101" s="100"/>
      <c r="O101" s="115"/>
      <c r="P101" s="166"/>
      <c r="Q101" s="100"/>
      <c r="R101" s="424"/>
      <c r="S101" s="98"/>
      <c r="T101" s="100"/>
      <c r="U101" s="115"/>
      <c r="V101" s="167"/>
      <c r="W101" s="100"/>
      <c r="X101" s="97"/>
    </row>
    <row r="102" spans="12:24" ht="14.25" customHeight="1" x14ac:dyDescent="0.2">
      <c r="L102" s="424"/>
      <c r="M102" s="98"/>
      <c r="N102" s="100"/>
      <c r="O102" s="115"/>
      <c r="P102" s="166"/>
      <c r="Q102" s="100"/>
      <c r="R102" s="424"/>
      <c r="S102" s="98"/>
      <c r="T102" s="100"/>
      <c r="U102" s="115"/>
      <c r="V102" s="167"/>
      <c r="W102" s="100"/>
      <c r="X102" s="97"/>
    </row>
    <row r="103" spans="12:24" ht="14.25" customHeight="1" x14ac:dyDescent="0.2">
      <c r="L103" s="424"/>
      <c r="M103" s="98"/>
      <c r="N103" s="100"/>
      <c r="O103" s="115"/>
      <c r="P103" s="166"/>
      <c r="Q103" s="100"/>
      <c r="R103" s="424"/>
      <c r="S103" s="98"/>
      <c r="T103" s="100"/>
      <c r="U103" s="115"/>
      <c r="V103" s="167"/>
      <c r="W103" s="100"/>
      <c r="X103" s="97"/>
    </row>
    <row r="104" spans="12:24" ht="14.25" customHeight="1" x14ac:dyDescent="0.2">
      <c r="L104" s="424"/>
      <c r="M104" s="98"/>
      <c r="N104" s="100"/>
      <c r="O104" s="115"/>
      <c r="P104" s="166"/>
      <c r="Q104" s="100"/>
      <c r="R104" s="424"/>
      <c r="S104" s="98"/>
      <c r="T104" s="100"/>
      <c r="U104" s="115"/>
      <c r="V104" s="167"/>
      <c r="W104" s="100"/>
      <c r="X104" s="97"/>
    </row>
    <row r="105" spans="12:24" ht="14.25" customHeight="1" x14ac:dyDescent="0.2">
      <c r="L105" s="424"/>
      <c r="M105" s="98"/>
      <c r="N105" s="100"/>
      <c r="O105" s="115"/>
      <c r="P105" s="166"/>
      <c r="Q105" s="100"/>
      <c r="R105" s="424"/>
      <c r="S105" s="98"/>
      <c r="T105" s="166"/>
      <c r="U105" s="115"/>
      <c r="V105" s="167"/>
      <c r="W105" s="100"/>
      <c r="X105" s="97"/>
    </row>
    <row r="106" spans="12:24" ht="14.25" customHeight="1" x14ac:dyDescent="0.2">
      <c r="L106" s="424"/>
      <c r="M106" s="98"/>
      <c r="N106" s="100"/>
      <c r="O106" s="115"/>
      <c r="P106" s="166"/>
      <c r="Q106" s="100"/>
      <c r="R106" s="424"/>
      <c r="S106" s="98"/>
      <c r="T106" s="100"/>
      <c r="U106" s="115"/>
      <c r="V106" s="167"/>
      <c r="W106" s="100"/>
      <c r="X106" s="97"/>
    </row>
    <row r="107" spans="12:24" ht="14.25" customHeight="1" x14ac:dyDescent="0.2">
      <c r="L107" s="424"/>
      <c r="M107" s="98"/>
      <c r="N107" s="100"/>
      <c r="O107" s="115"/>
      <c r="P107" s="166"/>
      <c r="Q107" s="100"/>
      <c r="R107" s="424"/>
      <c r="S107" s="98"/>
      <c r="T107" s="100"/>
      <c r="U107" s="115"/>
      <c r="V107" s="167"/>
      <c r="W107" s="100"/>
      <c r="X107" s="97"/>
    </row>
    <row r="108" spans="12:24" ht="14.25" customHeight="1" x14ac:dyDescent="0.2">
      <c r="L108" s="424"/>
      <c r="M108" s="98"/>
      <c r="N108" s="100"/>
      <c r="O108" s="115"/>
      <c r="P108" s="166"/>
      <c r="Q108" s="100"/>
      <c r="R108" s="424"/>
      <c r="S108" s="98"/>
      <c r="T108" s="166"/>
      <c r="U108" s="115"/>
      <c r="V108" s="167"/>
      <c r="W108" s="100"/>
      <c r="X108" s="97"/>
    </row>
    <row r="109" spans="12:24" ht="14.25" customHeight="1" x14ac:dyDescent="0.2">
      <c r="L109" s="424"/>
      <c r="M109" s="98"/>
      <c r="N109" s="100"/>
      <c r="O109" s="115"/>
      <c r="P109" s="166"/>
      <c r="Q109" s="100"/>
      <c r="R109" s="424"/>
      <c r="S109" s="98"/>
      <c r="T109" s="100"/>
      <c r="U109" s="115"/>
      <c r="V109" s="167"/>
      <c r="W109" s="100"/>
      <c r="X109" s="97"/>
    </row>
    <row r="110" spans="12:24" ht="14.25" customHeight="1" x14ac:dyDescent="0.2">
      <c r="L110" s="424"/>
      <c r="M110" s="98"/>
      <c r="N110" s="100"/>
      <c r="O110" s="115"/>
      <c r="P110" s="166"/>
      <c r="Q110" s="100"/>
      <c r="R110" s="424"/>
      <c r="S110" s="98"/>
      <c r="T110" s="100"/>
      <c r="U110" s="115"/>
      <c r="V110" s="167"/>
      <c r="W110" s="100"/>
      <c r="X110" s="97"/>
    </row>
    <row r="111" spans="12:24" ht="14.25" customHeight="1" x14ac:dyDescent="0.2">
      <c r="L111" s="424"/>
      <c r="M111" s="98"/>
      <c r="N111" s="100"/>
      <c r="O111" s="115"/>
      <c r="P111" s="166"/>
      <c r="Q111" s="100"/>
      <c r="R111" s="130"/>
      <c r="S111" s="100"/>
      <c r="T111" s="131"/>
      <c r="U111" s="115"/>
      <c r="V111" s="166"/>
      <c r="W111" s="100"/>
      <c r="X111" s="97"/>
    </row>
    <row r="112" spans="12:24" ht="14.25" customHeight="1" x14ac:dyDescent="0.2">
      <c r="L112" s="424"/>
      <c r="M112" s="98"/>
      <c r="N112" s="100"/>
      <c r="O112" s="115"/>
      <c r="P112" s="166"/>
      <c r="Q112" s="100"/>
      <c r="R112" s="423"/>
      <c r="S112" s="98"/>
      <c r="T112" s="100"/>
      <c r="U112" s="115"/>
      <c r="V112" s="167"/>
      <c r="W112" s="100"/>
      <c r="X112" s="97"/>
    </row>
    <row r="113" spans="12:24" ht="14.25" customHeight="1" x14ac:dyDescent="0.2">
      <c r="L113" s="130"/>
      <c r="M113" s="100"/>
      <c r="N113" s="131"/>
      <c r="O113" s="115"/>
      <c r="P113" s="166"/>
      <c r="Q113" s="100"/>
      <c r="R113" s="424"/>
      <c r="S113" s="98"/>
      <c r="T113" s="100"/>
      <c r="U113" s="115"/>
      <c r="V113" s="167"/>
      <c r="W113" s="100"/>
      <c r="X113" s="97"/>
    </row>
    <row r="114" spans="12:24" ht="14.25" customHeight="1" x14ac:dyDescent="0.2">
      <c r="L114" s="423"/>
      <c r="M114" s="98"/>
      <c r="N114" s="100"/>
      <c r="O114" s="115"/>
      <c r="P114" s="166"/>
      <c r="Q114" s="100"/>
      <c r="R114" s="424"/>
      <c r="S114" s="98"/>
      <c r="T114" s="100"/>
      <c r="U114" s="115"/>
      <c r="V114" s="167"/>
      <c r="W114" s="100"/>
      <c r="X114" s="97"/>
    </row>
    <row r="115" spans="12:24" ht="14.25" customHeight="1" x14ac:dyDescent="0.2">
      <c r="L115" s="423"/>
      <c r="M115" s="98"/>
      <c r="N115" s="100"/>
      <c r="O115" s="115"/>
      <c r="P115" s="166"/>
      <c r="Q115" s="100"/>
      <c r="R115" s="424"/>
      <c r="S115" s="98"/>
      <c r="T115" s="166"/>
      <c r="U115" s="115"/>
      <c r="V115" s="167"/>
      <c r="W115" s="100"/>
      <c r="X115" s="97"/>
    </row>
    <row r="116" spans="12:24" ht="14.25" customHeight="1" x14ac:dyDescent="0.2">
      <c r="L116" s="423"/>
      <c r="M116" s="98"/>
      <c r="N116" s="100"/>
      <c r="O116" s="115"/>
      <c r="P116" s="166"/>
      <c r="Q116" s="100"/>
      <c r="R116" s="424"/>
      <c r="S116" s="98"/>
      <c r="T116" s="166"/>
      <c r="U116" s="115"/>
      <c r="V116" s="167"/>
      <c r="W116" s="100"/>
      <c r="X116" s="97"/>
    </row>
    <row r="117" spans="12:24" ht="14.25" customHeight="1" x14ac:dyDescent="0.2">
      <c r="L117" s="423"/>
      <c r="M117" s="98"/>
      <c r="N117" s="100"/>
      <c r="O117" s="115"/>
      <c r="P117" s="166"/>
      <c r="Q117" s="100"/>
      <c r="R117" s="424"/>
      <c r="S117" s="98"/>
      <c r="T117" s="100"/>
      <c r="U117" s="115"/>
      <c r="V117" s="167"/>
      <c r="W117" s="100"/>
      <c r="X117" s="97"/>
    </row>
    <row r="118" spans="12:24" ht="14.25" customHeight="1" x14ac:dyDescent="0.2">
      <c r="L118" s="423"/>
      <c r="M118" s="98"/>
      <c r="N118" s="100"/>
      <c r="O118" s="115"/>
      <c r="P118" s="166"/>
      <c r="Q118" s="100"/>
      <c r="R118" s="424"/>
      <c r="S118" s="98"/>
      <c r="T118" s="166"/>
      <c r="U118" s="115"/>
      <c r="V118" s="167"/>
      <c r="W118" s="100"/>
      <c r="X118" s="97"/>
    </row>
    <row r="119" spans="12:24" ht="14.25" customHeight="1" x14ac:dyDescent="0.2">
      <c r="L119" s="423"/>
      <c r="M119" s="98"/>
      <c r="N119" s="100"/>
      <c r="O119" s="115"/>
      <c r="P119" s="166"/>
      <c r="Q119" s="168"/>
      <c r="R119" s="424"/>
      <c r="S119" s="98"/>
      <c r="T119" s="100"/>
      <c r="U119" s="115"/>
      <c r="V119" s="167"/>
      <c r="W119" s="168"/>
      <c r="X119" s="97"/>
    </row>
    <row r="120" spans="12:24" ht="14.25" customHeight="1" x14ac:dyDescent="0.2">
      <c r="L120" s="423"/>
      <c r="M120" s="98"/>
      <c r="N120" s="100"/>
      <c r="O120" s="115"/>
      <c r="P120" s="166"/>
      <c r="Q120" s="168"/>
      <c r="R120" s="424"/>
      <c r="S120" s="98"/>
      <c r="T120" s="100"/>
      <c r="U120" s="115"/>
      <c r="V120" s="167"/>
      <c r="W120" s="168"/>
      <c r="X120" s="97"/>
    </row>
    <row r="121" spans="12:24" ht="14.25" customHeight="1" x14ac:dyDescent="0.2">
      <c r="L121" s="423"/>
      <c r="M121" s="98"/>
      <c r="N121" s="100"/>
      <c r="O121" s="115"/>
      <c r="P121" s="166"/>
      <c r="Q121" s="168"/>
      <c r="R121" s="424"/>
      <c r="S121" s="98"/>
      <c r="T121" s="100"/>
      <c r="U121" s="115"/>
      <c r="V121" s="167"/>
      <c r="W121" s="168"/>
      <c r="X121" s="97"/>
    </row>
    <row r="122" spans="12:24" ht="14.25" customHeight="1" x14ac:dyDescent="0.2">
      <c r="L122" s="423"/>
      <c r="M122" s="98"/>
      <c r="N122" s="100"/>
      <c r="O122" s="115"/>
      <c r="P122" s="166"/>
      <c r="Q122" s="168"/>
      <c r="R122" s="424"/>
      <c r="S122" s="98"/>
      <c r="T122" s="100"/>
      <c r="U122" s="115"/>
      <c r="V122" s="167"/>
      <c r="W122" s="168"/>
      <c r="X122" s="97"/>
    </row>
    <row r="123" spans="12:24" ht="14.25" customHeight="1" x14ac:dyDescent="0.2">
      <c r="L123" s="423"/>
      <c r="M123" s="98"/>
      <c r="N123" s="100"/>
      <c r="O123" s="115"/>
      <c r="P123" s="166"/>
      <c r="Q123" s="168"/>
      <c r="R123" s="424"/>
      <c r="S123" s="168"/>
      <c r="T123" s="170"/>
      <c r="U123" s="115"/>
      <c r="V123" s="166"/>
      <c r="W123" s="168"/>
      <c r="X123" s="97"/>
    </row>
    <row r="124" spans="12:24" ht="14.25" customHeight="1" x14ac:dyDescent="0.2">
      <c r="L124" s="423"/>
      <c r="M124" s="98"/>
      <c r="N124" s="100"/>
      <c r="O124" s="115"/>
      <c r="P124" s="166"/>
      <c r="Q124" s="173"/>
      <c r="R124" s="130"/>
      <c r="S124" s="171"/>
      <c r="T124" s="170"/>
      <c r="U124" s="172"/>
      <c r="V124" s="170"/>
      <c r="W124" s="173"/>
    </row>
    <row r="125" spans="12:24" x14ac:dyDescent="0.2">
      <c r="L125" s="423"/>
      <c r="M125" s="168"/>
      <c r="N125" s="168"/>
      <c r="O125" s="115"/>
      <c r="P125" s="166"/>
      <c r="Q125" s="130"/>
      <c r="R125" s="130"/>
      <c r="S125" s="130"/>
      <c r="T125" s="130"/>
      <c r="U125" s="130"/>
      <c r="V125" s="130"/>
      <c r="W125" s="130"/>
    </row>
    <row r="126" spans="12:24" x14ac:dyDescent="0.2">
      <c r="L126" s="130"/>
      <c r="M126" s="171"/>
      <c r="N126" s="168"/>
      <c r="O126" s="172"/>
      <c r="P126" s="170"/>
      <c r="Q126" s="130"/>
      <c r="R126" s="130"/>
      <c r="S126" s="130"/>
      <c r="T126" s="130"/>
      <c r="U126" s="130"/>
      <c r="V126" s="130"/>
      <c r="W126" s="130"/>
    </row>
  </sheetData>
  <autoFilter ref="H18:H42" xr:uid="{00000000-0009-0000-0000-000000000000}"/>
  <mergeCells count="33">
    <mergeCell ref="S96:W96"/>
    <mergeCell ref="L100:L112"/>
    <mergeCell ref="R98:R110"/>
    <mergeCell ref="A10:F10"/>
    <mergeCell ref="A48:C48"/>
    <mergeCell ref="A11:F11"/>
    <mergeCell ref="A16:G16"/>
    <mergeCell ref="A42:F42"/>
    <mergeCell ref="A15:G15"/>
    <mergeCell ref="A46:G46"/>
    <mergeCell ref="A47:G47"/>
    <mergeCell ref="J57:Q57"/>
    <mergeCell ref="L114:L125"/>
    <mergeCell ref="R112:R123"/>
    <mergeCell ref="B17:B18"/>
    <mergeCell ref="C17:C18"/>
    <mergeCell ref="D17:D18"/>
    <mergeCell ref="E17:E18"/>
    <mergeCell ref="B41:F41"/>
    <mergeCell ref="B56:C56"/>
    <mergeCell ref="A50:G50"/>
    <mergeCell ref="A51:G51"/>
    <mergeCell ref="A52:G52"/>
    <mergeCell ref="A40:F40"/>
    <mergeCell ref="A45:G45"/>
    <mergeCell ref="B58:C58"/>
    <mergeCell ref="C1:G1"/>
    <mergeCell ref="A5:C5"/>
    <mergeCell ref="A6:C6"/>
    <mergeCell ref="A7:C7"/>
    <mergeCell ref="A8:C8"/>
    <mergeCell ref="A2:C2"/>
    <mergeCell ref="A4:C4"/>
  </mergeCells>
  <phoneticPr fontId="17" type="noConversion"/>
  <hyperlinks>
    <hyperlink ref="B57" r:id="rId1" xr:uid="{9D250B40-A1FA-4904-8E64-8C8B7D19FAF6}"/>
  </hyperlinks>
  <pageMargins left="0.70866141732283505" right="0.23622047244094499" top="1.14173228346457" bottom="1.0629910323709499" header="0.19684930008748899" footer="0.15748031496063"/>
  <pageSetup paperSize="9" scale="85" orientation="portrait" r:id="rId2"/>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D348F-5E79-4CA6-BCBC-CE0AD8511EC6}">
  <sheetPr codeName="Foaie4">
    <tabColor rgb="FF33CC33"/>
  </sheetPr>
  <dimension ref="A1:AD138"/>
  <sheetViews>
    <sheetView zoomScaleNormal="100" zoomScaleSheetLayoutView="100" workbookViewId="0">
      <selection activeCell="N4" sqref="N4"/>
    </sheetView>
  </sheetViews>
  <sheetFormatPr defaultColWidth="9.109375" defaultRowHeight="11.4" x14ac:dyDescent="0.2"/>
  <cols>
    <col min="1" max="1" width="5.6640625" style="6" customWidth="1"/>
    <col min="2" max="2" width="8.33203125" style="6" customWidth="1"/>
    <col min="3" max="3" width="58.33203125" style="6" customWidth="1"/>
    <col min="4" max="4" width="6.88671875" style="6" customWidth="1"/>
    <col min="5" max="5" width="7.44140625" style="6" customWidth="1"/>
    <col min="6" max="6" width="11.77734375" style="6" customWidth="1"/>
    <col min="7" max="7" width="12.109375" style="6" customWidth="1"/>
    <col min="8" max="8" width="5" style="6" customWidth="1"/>
    <col min="9" max="9" width="7.6640625" style="6" customWidth="1"/>
    <col min="10" max="10" width="11" style="6" customWidth="1"/>
    <col min="11" max="11" width="8.88671875" style="6" customWidth="1"/>
    <col min="12" max="12" width="9.109375" style="6" customWidth="1"/>
    <col min="13" max="13" width="7.109375" style="6" customWidth="1"/>
    <col min="14" max="15" width="7.5546875" style="6" customWidth="1"/>
    <col min="16" max="16" width="6.33203125" style="6" customWidth="1"/>
    <col min="17" max="17" width="9.6640625" style="56" customWidth="1"/>
    <col min="18" max="18" width="7.109375" style="6" customWidth="1"/>
    <col min="19" max="19" width="12.5546875" style="6" customWidth="1"/>
    <col min="20" max="20" width="8" style="6" customWidth="1"/>
    <col min="21" max="21" width="9.109375" style="6"/>
    <col min="22" max="22" width="8.44140625" style="6" customWidth="1"/>
    <col min="23" max="23" width="7.5546875" style="6" customWidth="1"/>
    <col min="24" max="24" width="7.88671875" style="6" customWidth="1"/>
    <col min="25" max="25" width="5.5546875" style="6" customWidth="1"/>
    <col min="26" max="26" width="8" style="6" customWidth="1"/>
    <col min="27" max="16384" width="9.109375" style="6"/>
  </cols>
  <sheetData>
    <row r="1" spans="1:19" ht="132.44999999999999" customHeight="1" x14ac:dyDescent="0.2">
      <c r="C1" s="405" t="s">
        <v>382</v>
      </c>
      <c r="D1" s="405"/>
      <c r="E1" s="405"/>
      <c r="F1" s="405"/>
      <c r="G1" s="405"/>
      <c r="H1" s="10"/>
      <c r="I1" s="10"/>
      <c r="J1" s="10"/>
      <c r="K1" s="10"/>
      <c r="N1" s="68"/>
    </row>
    <row r="2" spans="1:19" ht="14.4" x14ac:dyDescent="0.3">
      <c r="A2" s="408" t="s">
        <v>420</v>
      </c>
      <c r="B2" s="409"/>
      <c r="C2" s="409"/>
    </row>
    <row r="3" spans="1:19" x14ac:dyDescent="0.2">
      <c r="A3" s="2"/>
    </row>
    <row r="4" spans="1:19" ht="14.4" x14ac:dyDescent="0.3">
      <c r="A4" s="419" t="s">
        <v>114</v>
      </c>
      <c r="B4" s="409"/>
      <c r="C4" s="409"/>
    </row>
    <row r="5" spans="1:19" ht="14.4" x14ac:dyDescent="0.3">
      <c r="A5" s="419" t="s">
        <v>132</v>
      </c>
      <c r="B5" s="409"/>
      <c r="C5" s="409"/>
    </row>
    <row r="6" spans="1:19" ht="14.4" x14ac:dyDescent="0.3">
      <c r="A6" s="419" t="s">
        <v>15</v>
      </c>
      <c r="B6" s="409"/>
      <c r="C6" s="409"/>
    </row>
    <row r="7" spans="1:19" ht="14.4" x14ac:dyDescent="0.3">
      <c r="A7" s="420" t="s">
        <v>13</v>
      </c>
      <c r="B7" s="421"/>
      <c r="C7" s="421"/>
    </row>
    <row r="8" spans="1:19" ht="14.4" x14ac:dyDescent="0.3">
      <c r="A8" s="419" t="s">
        <v>136</v>
      </c>
      <c r="B8" s="409"/>
      <c r="C8" s="409"/>
    </row>
    <row r="10" spans="1:19" ht="31.5" customHeight="1" thickBot="1" x14ac:dyDescent="0.25">
      <c r="A10" s="406" t="s">
        <v>0</v>
      </c>
      <c r="B10" s="406"/>
      <c r="C10" s="406"/>
      <c r="D10" s="406"/>
      <c r="E10" s="406"/>
      <c r="F10" s="406"/>
      <c r="G10" s="12" t="s">
        <v>186</v>
      </c>
      <c r="H10" s="4"/>
      <c r="I10" s="4"/>
      <c r="J10" s="5"/>
      <c r="K10" s="5"/>
      <c r="L10" s="5"/>
      <c r="M10" s="5"/>
      <c r="N10" s="5"/>
      <c r="O10" s="5"/>
      <c r="P10" s="5"/>
      <c r="Q10" s="48"/>
      <c r="R10" s="5"/>
    </row>
    <row r="11" spans="1:19" ht="25.5" customHeight="1" thickTop="1" thickBot="1" x14ac:dyDescent="0.25">
      <c r="A11" s="406" t="s">
        <v>24</v>
      </c>
      <c r="B11" s="406"/>
      <c r="C11" s="406"/>
      <c r="D11" s="406"/>
      <c r="E11" s="406"/>
      <c r="F11" s="406"/>
      <c r="G11" s="128">
        <f>K108+T108</f>
        <v>0</v>
      </c>
      <c r="H11" s="4"/>
      <c r="I11" s="4"/>
      <c r="J11" s="5"/>
      <c r="K11" s="5"/>
      <c r="L11" s="5"/>
      <c r="M11" s="5"/>
      <c r="N11" s="5"/>
      <c r="O11" s="12"/>
      <c r="P11" s="5"/>
      <c r="Q11" s="48"/>
      <c r="R11" s="5"/>
    </row>
    <row r="12" spans="1:19" ht="39" customHeight="1" thickTop="1" x14ac:dyDescent="0.2">
      <c r="A12" s="4"/>
      <c r="B12" s="4"/>
      <c r="C12" s="4"/>
      <c r="D12" s="4"/>
      <c r="E12" s="4"/>
      <c r="F12" s="4"/>
      <c r="G12" s="4"/>
      <c r="H12" s="4"/>
      <c r="I12" s="4"/>
      <c r="J12" s="5"/>
      <c r="K12" s="5"/>
      <c r="L12" s="5"/>
      <c r="M12" s="5"/>
      <c r="N12" s="5"/>
      <c r="O12" s="50"/>
      <c r="P12" s="5"/>
      <c r="Q12" s="48"/>
      <c r="R12" s="5"/>
    </row>
    <row r="13" spans="1:19" ht="39" customHeight="1" x14ac:dyDescent="0.2">
      <c r="A13" s="4"/>
      <c r="B13" s="4"/>
      <c r="C13" s="4"/>
      <c r="D13" s="4"/>
      <c r="E13" s="4"/>
      <c r="F13" s="4"/>
      <c r="G13" s="4"/>
      <c r="H13" s="4"/>
      <c r="I13" s="4"/>
      <c r="J13" s="5"/>
      <c r="K13" s="5"/>
      <c r="L13" s="5"/>
      <c r="M13" s="5"/>
      <c r="N13" s="5"/>
      <c r="O13" s="48"/>
      <c r="P13" s="5"/>
      <c r="Q13" s="48"/>
      <c r="R13" s="5"/>
    </row>
    <row r="14" spans="1:19" ht="24" customHeight="1" x14ac:dyDescent="0.2">
      <c r="A14" s="4"/>
      <c r="B14" s="4"/>
      <c r="C14" s="12"/>
      <c r="D14" s="97"/>
      <c r="E14" s="4"/>
      <c r="F14" s="97"/>
      <c r="G14" s="97" t="s">
        <v>331</v>
      </c>
      <c r="H14" s="4"/>
      <c r="I14" s="3"/>
      <c r="J14" s="12" t="s">
        <v>220</v>
      </c>
      <c r="K14" s="9"/>
      <c r="L14" s="129" t="s">
        <v>101</v>
      </c>
      <c r="M14" s="5"/>
      <c r="N14" s="3" t="s">
        <v>377</v>
      </c>
      <c r="O14" s="5"/>
      <c r="P14" s="5"/>
      <c r="Q14" s="129" t="s">
        <v>100</v>
      </c>
      <c r="S14" s="1" t="s">
        <v>338</v>
      </c>
    </row>
    <row r="15" spans="1:19" ht="20.25" customHeight="1" x14ac:dyDescent="0.4">
      <c r="A15" s="398" t="s">
        <v>60</v>
      </c>
      <c r="B15" s="399"/>
      <c r="C15" s="399"/>
      <c r="D15" s="399"/>
      <c r="E15" s="399"/>
      <c r="F15" s="399"/>
      <c r="G15" s="399"/>
      <c r="H15" s="4"/>
      <c r="I15" s="4"/>
      <c r="J15" s="5"/>
      <c r="K15" s="5"/>
      <c r="L15" s="5"/>
      <c r="M15" s="5"/>
      <c r="N15" s="5"/>
      <c r="O15" s="5"/>
      <c r="P15" s="5"/>
      <c r="Q15" s="48"/>
      <c r="R15" s="5"/>
    </row>
    <row r="16" spans="1:19" ht="21.6" thickBot="1" x14ac:dyDescent="0.45">
      <c r="A16" s="410"/>
      <c r="B16" s="411"/>
      <c r="C16" s="411"/>
      <c r="D16" s="411"/>
      <c r="E16" s="411"/>
      <c r="F16" s="411"/>
      <c r="G16" s="411"/>
      <c r="H16" s="5"/>
      <c r="I16" s="5"/>
      <c r="J16" s="5"/>
      <c r="K16" s="5"/>
      <c r="L16" s="5"/>
      <c r="M16" s="5"/>
      <c r="N16" s="5"/>
      <c r="O16" s="5"/>
      <c r="P16" s="5"/>
      <c r="Q16" s="48"/>
      <c r="R16" s="5"/>
    </row>
    <row r="17" spans="1:18" ht="23.25" customHeight="1" thickTop="1" thickBot="1" x14ac:dyDescent="0.25">
      <c r="A17" s="32" t="s">
        <v>1</v>
      </c>
      <c r="B17" s="407" t="s">
        <v>3</v>
      </c>
      <c r="C17" s="407" t="s">
        <v>4</v>
      </c>
      <c r="D17" s="407" t="s">
        <v>5</v>
      </c>
      <c r="E17" s="407" t="s">
        <v>6</v>
      </c>
      <c r="F17" s="32" t="s">
        <v>7</v>
      </c>
      <c r="G17" s="32" t="s">
        <v>9</v>
      </c>
      <c r="H17" s="5"/>
      <c r="I17" s="5"/>
      <c r="J17" s="5"/>
      <c r="K17" s="5"/>
      <c r="L17" s="5"/>
      <c r="M17" s="5"/>
      <c r="N17" s="5"/>
      <c r="O17" s="5"/>
      <c r="P17" s="5"/>
      <c r="Q17" s="48"/>
      <c r="R17" s="5"/>
    </row>
    <row r="18" spans="1:18" ht="24.75" customHeight="1" thickTop="1" thickBot="1" x14ac:dyDescent="0.25">
      <c r="A18" s="32" t="s">
        <v>2</v>
      </c>
      <c r="B18" s="407"/>
      <c r="C18" s="407"/>
      <c r="D18" s="407"/>
      <c r="E18" s="407"/>
      <c r="F18" s="32" t="s">
        <v>8</v>
      </c>
      <c r="G18" s="32" t="s">
        <v>8</v>
      </c>
      <c r="H18" s="281"/>
      <c r="I18" s="5"/>
      <c r="J18" s="5"/>
      <c r="K18" s="5"/>
      <c r="L18" s="5"/>
      <c r="M18" s="150" t="s">
        <v>348</v>
      </c>
      <c r="N18" s="5"/>
      <c r="O18" s="5"/>
      <c r="P18" s="5"/>
      <c r="Q18" s="48"/>
      <c r="R18" s="5"/>
    </row>
    <row r="19" spans="1:18" ht="20.100000000000001" customHeight="1" thickTop="1" thickBot="1" x14ac:dyDescent="0.25">
      <c r="A19" s="163" t="s">
        <v>369</v>
      </c>
      <c r="B19" s="162"/>
      <c r="C19" s="162"/>
      <c r="D19" s="162"/>
      <c r="E19" s="336" t="s">
        <v>370</v>
      </c>
      <c r="F19" s="333">
        <f>K108</f>
        <v>0</v>
      </c>
      <c r="G19" s="184" t="s">
        <v>129</v>
      </c>
      <c r="H19" s="241">
        <f>SUM(H20:H29)</f>
        <v>0</v>
      </c>
      <c r="I19" s="5"/>
      <c r="J19" s="5"/>
      <c r="K19" s="5"/>
      <c r="L19" s="5"/>
      <c r="M19" s="12" t="s">
        <v>63</v>
      </c>
      <c r="N19" s="5"/>
      <c r="O19" s="5"/>
      <c r="P19" s="5"/>
      <c r="Q19" s="48"/>
      <c r="R19" s="5"/>
    </row>
    <row r="20" spans="1:18" ht="18" customHeight="1" thickTop="1" thickBot="1" x14ac:dyDescent="0.25">
      <c r="A20" s="22"/>
      <c r="B20" s="37">
        <v>340101</v>
      </c>
      <c r="C20" s="38" t="s">
        <v>47</v>
      </c>
      <c r="D20" s="39" t="s">
        <v>10</v>
      </c>
      <c r="E20" s="140">
        <f>COUNTIF(M81:M107,1)+COUNTIF(N81:N107,1)+COUNTIF(O81:O107,1)</f>
        <v>0</v>
      </c>
      <c r="F20" s="350">
        <v>36</v>
      </c>
      <c r="G20" s="153">
        <f t="shared" ref="G20:G29" si="0">E20*F20</f>
        <v>0</v>
      </c>
      <c r="H20" s="48">
        <f t="shared" ref="H20:H29" si="1">E20</f>
        <v>0</v>
      </c>
      <c r="I20" s="5"/>
      <c r="J20" s="5"/>
      <c r="K20" s="5"/>
      <c r="L20" s="5"/>
      <c r="M20" s="12">
        <f>E20*140</f>
        <v>0</v>
      </c>
      <c r="N20" s="5"/>
      <c r="O20" s="5"/>
      <c r="P20" s="5"/>
      <c r="Q20" s="48"/>
      <c r="R20" s="5"/>
    </row>
    <row r="21" spans="1:18" ht="18" customHeight="1" thickTop="1" thickBot="1" x14ac:dyDescent="0.25">
      <c r="A21" s="22"/>
      <c r="B21" s="37">
        <v>340201</v>
      </c>
      <c r="C21" s="38" t="s">
        <v>48</v>
      </c>
      <c r="D21" s="39" t="s">
        <v>10</v>
      </c>
      <c r="E21" s="140">
        <f>COUNTIF(M81:M107,2)+COUNTIF(N81:N107,2)+COUNTIF(O81:O107,2)</f>
        <v>0</v>
      </c>
      <c r="F21" s="350">
        <v>60</v>
      </c>
      <c r="G21" s="153">
        <f t="shared" si="0"/>
        <v>0</v>
      </c>
      <c r="H21" s="48">
        <f t="shared" si="1"/>
        <v>0</v>
      </c>
      <c r="I21" s="5"/>
      <c r="J21" s="5"/>
      <c r="K21" s="5"/>
      <c r="L21" s="5"/>
      <c r="M21" s="12">
        <f>E21*280</f>
        <v>0</v>
      </c>
      <c r="N21" s="5"/>
      <c r="O21" s="5"/>
      <c r="P21" s="5"/>
      <c r="Q21" s="48"/>
      <c r="R21" s="5"/>
    </row>
    <row r="22" spans="1:18" ht="18" customHeight="1" thickTop="1" thickBot="1" x14ac:dyDescent="0.25">
      <c r="A22" s="22"/>
      <c r="B22" s="37">
        <v>340301</v>
      </c>
      <c r="C22" s="38" t="s">
        <v>49</v>
      </c>
      <c r="D22" s="39" t="s">
        <v>10</v>
      </c>
      <c r="E22" s="155">
        <f>COUNTIF(M81:M107,3)+COUNTIF(N81:N107,3)+COUNTIF(O81:O107,3)</f>
        <v>0</v>
      </c>
      <c r="F22" s="350">
        <v>84</v>
      </c>
      <c r="G22" s="153">
        <f t="shared" si="0"/>
        <v>0</v>
      </c>
      <c r="H22" s="48">
        <f t="shared" si="1"/>
        <v>0</v>
      </c>
      <c r="I22" s="5"/>
      <c r="J22" s="5"/>
      <c r="K22" s="5"/>
      <c r="L22" s="5"/>
      <c r="M22" s="12">
        <f>E22*420</f>
        <v>0</v>
      </c>
      <c r="N22" s="5"/>
      <c r="O22" s="5"/>
      <c r="P22" s="5"/>
      <c r="Q22" s="48"/>
      <c r="R22" s="5"/>
    </row>
    <row r="23" spans="1:18" ht="18" customHeight="1" thickTop="1" thickBot="1" x14ac:dyDescent="0.25">
      <c r="A23" s="22"/>
      <c r="B23" s="37">
        <v>340401</v>
      </c>
      <c r="C23" s="38" t="s">
        <v>50</v>
      </c>
      <c r="D23" s="39" t="s">
        <v>10</v>
      </c>
      <c r="E23" s="155">
        <f>COUNTIF(M81:M107,4)+COUNTIF(N81:N107,4)+COUNTIF(O81:O107,4)</f>
        <v>0</v>
      </c>
      <c r="F23" s="350">
        <v>110</v>
      </c>
      <c r="G23" s="153">
        <f t="shared" si="0"/>
        <v>0</v>
      </c>
      <c r="H23" s="48">
        <f t="shared" si="1"/>
        <v>0</v>
      </c>
      <c r="I23" s="5"/>
      <c r="J23" s="5"/>
      <c r="K23" s="5"/>
      <c r="L23" s="5"/>
      <c r="M23" s="12">
        <f>E23*560</f>
        <v>0</v>
      </c>
      <c r="N23" s="5"/>
      <c r="O23" s="5"/>
      <c r="P23" s="5"/>
      <c r="Q23" s="48"/>
      <c r="R23" s="5"/>
    </row>
    <row r="24" spans="1:18" ht="18" customHeight="1" thickTop="1" thickBot="1" x14ac:dyDescent="0.25">
      <c r="A24" s="22"/>
      <c r="B24" s="37">
        <v>340501</v>
      </c>
      <c r="C24" s="38" t="s">
        <v>51</v>
      </c>
      <c r="D24" s="39" t="s">
        <v>10</v>
      </c>
      <c r="E24" s="155">
        <f>COUNTIF(M81:M107,5)+COUNTIF(N81:N107,5)+COUNTIF(O81:O107,5)</f>
        <v>0</v>
      </c>
      <c r="F24" s="350">
        <v>131</v>
      </c>
      <c r="G24" s="153">
        <f t="shared" si="0"/>
        <v>0</v>
      </c>
      <c r="H24" s="48">
        <f t="shared" si="1"/>
        <v>0</v>
      </c>
      <c r="I24" s="5"/>
      <c r="J24" s="5"/>
      <c r="K24" s="5"/>
      <c r="L24" s="5"/>
      <c r="M24" s="12">
        <f>E24*700</f>
        <v>0</v>
      </c>
      <c r="N24" s="5"/>
      <c r="O24" s="5"/>
      <c r="P24" s="5"/>
      <c r="Q24" s="48"/>
      <c r="R24" s="5"/>
    </row>
    <row r="25" spans="1:18" ht="18" customHeight="1" thickTop="1" thickBot="1" x14ac:dyDescent="0.25">
      <c r="A25" s="22"/>
      <c r="B25" s="37">
        <v>340601</v>
      </c>
      <c r="C25" s="38" t="s">
        <v>52</v>
      </c>
      <c r="D25" s="39" t="s">
        <v>10</v>
      </c>
      <c r="E25" s="155">
        <f>COUNTIF(M81:M107,6)+COUNTIF(N81:N107,6)+COUNTIF(O81:O107,6)</f>
        <v>0</v>
      </c>
      <c r="F25" s="350">
        <v>160</v>
      </c>
      <c r="G25" s="153">
        <f t="shared" si="0"/>
        <v>0</v>
      </c>
      <c r="H25" s="48">
        <f t="shared" si="1"/>
        <v>0</v>
      </c>
      <c r="I25" s="5"/>
      <c r="J25" s="5"/>
      <c r="K25" s="5"/>
      <c r="L25" s="5"/>
      <c r="M25" s="12">
        <f>E25*840</f>
        <v>0</v>
      </c>
      <c r="N25" s="5"/>
      <c r="O25" s="5"/>
      <c r="P25" s="5"/>
      <c r="Q25" s="48"/>
      <c r="R25" s="5"/>
    </row>
    <row r="26" spans="1:18" ht="18" customHeight="1" thickTop="1" thickBot="1" x14ac:dyDescent="0.25">
      <c r="A26" s="22"/>
      <c r="B26" s="37">
        <v>340701</v>
      </c>
      <c r="C26" s="38" t="s">
        <v>53</v>
      </c>
      <c r="D26" s="39" t="s">
        <v>10</v>
      </c>
      <c r="E26" s="155">
        <f>COUNTIF(M81:M107,7)+COUNTIF(N81:N107,7)+COUNTIF(O81:O107,7)</f>
        <v>0</v>
      </c>
      <c r="F26" s="350">
        <v>180</v>
      </c>
      <c r="G26" s="153">
        <f t="shared" si="0"/>
        <v>0</v>
      </c>
      <c r="H26" s="48">
        <f t="shared" si="1"/>
        <v>0</v>
      </c>
      <c r="I26" s="5"/>
      <c r="J26" s="5"/>
      <c r="K26" s="5"/>
      <c r="L26" s="5"/>
      <c r="M26" s="12">
        <f>E26*980</f>
        <v>0</v>
      </c>
      <c r="N26" s="5"/>
      <c r="O26" s="5"/>
      <c r="P26" s="5"/>
      <c r="Q26" s="48"/>
      <c r="R26" s="5"/>
    </row>
    <row r="27" spans="1:18" ht="18" customHeight="1" thickTop="1" thickBot="1" x14ac:dyDescent="0.25">
      <c r="A27" s="22"/>
      <c r="B27" s="37">
        <v>340801</v>
      </c>
      <c r="C27" s="38" t="s">
        <v>54</v>
      </c>
      <c r="D27" s="39" t="s">
        <v>10</v>
      </c>
      <c r="E27" s="155">
        <f>COUNTIF(M81:M107,8)+COUNTIF(N81:N107,8)+COUNTIF(O81:O107,8)</f>
        <v>0</v>
      </c>
      <c r="F27" s="350">
        <v>192</v>
      </c>
      <c r="G27" s="153">
        <f t="shared" si="0"/>
        <v>0</v>
      </c>
      <c r="H27" s="48">
        <f t="shared" si="1"/>
        <v>0</v>
      </c>
      <c r="I27" s="5"/>
      <c r="J27" s="5"/>
      <c r="K27" s="5"/>
      <c r="L27" s="5"/>
      <c r="M27" s="12">
        <f>E27*1120</f>
        <v>0</v>
      </c>
      <c r="N27" s="5"/>
      <c r="O27" s="5"/>
      <c r="P27" s="5"/>
      <c r="Q27" s="48"/>
      <c r="R27" s="5"/>
    </row>
    <row r="28" spans="1:18" ht="18" customHeight="1" thickTop="1" thickBot="1" x14ac:dyDescent="0.25">
      <c r="A28" s="22"/>
      <c r="B28" s="37">
        <v>340901</v>
      </c>
      <c r="C28" s="38" t="s">
        <v>55</v>
      </c>
      <c r="D28" s="39" t="s">
        <v>10</v>
      </c>
      <c r="E28" s="155">
        <f>COUNTIF(M81:M107,9)+COUNTIF(N81:N107,9)+COUNTIF(O81:O107,9)</f>
        <v>0</v>
      </c>
      <c r="F28" s="350">
        <v>218</v>
      </c>
      <c r="G28" s="153">
        <f t="shared" si="0"/>
        <v>0</v>
      </c>
      <c r="H28" s="48">
        <f t="shared" si="1"/>
        <v>0</v>
      </c>
      <c r="I28" s="5"/>
      <c r="J28" s="5"/>
      <c r="K28" s="5"/>
      <c r="L28" s="5"/>
      <c r="M28" s="12">
        <f>E28*1260</f>
        <v>0</v>
      </c>
      <c r="N28" s="5"/>
      <c r="O28" s="5"/>
      <c r="P28" s="5"/>
      <c r="Q28" s="48"/>
      <c r="R28" s="5"/>
    </row>
    <row r="29" spans="1:18" ht="18" customHeight="1" thickTop="1" thickBot="1" x14ac:dyDescent="0.25">
      <c r="A29" s="22"/>
      <c r="B29" s="37">
        <v>341001</v>
      </c>
      <c r="C29" s="38" t="s">
        <v>56</v>
      </c>
      <c r="D29" s="39" t="s">
        <v>10</v>
      </c>
      <c r="E29" s="155">
        <f>COUNTIF(M81:M107,10)+COUNTIF(N81:N107,10)+COUNTIF(O81:O107,10)</f>
        <v>0</v>
      </c>
      <c r="F29" s="350">
        <v>244</v>
      </c>
      <c r="G29" s="153">
        <f t="shared" si="0"/>
        <v>0</v>
      </c>
      <c r="H29" s="48">
        <f t="shared" si="1"/>
        <v>0</v>
      </c>
      <c r="I29" s="5"/>
      <c r="J29" s="5"/>
      <c r="K29" s="5"/>
      <c r="L29" s="5"/>
      <c r="M29" s="12">
        <f>E29*1400</f>
        <v>0</v>
      </c>
      <c r="N29" s="5"/>
      <c r="O29" s="5"/>
      <c r="P29" s="5"/>
      <c r="Q29" s="48"/>
      <c r="R29" s="5"/>
    </row>
    <row r="30" spans="1:18" ht="20.100000000000001" customHeight="1" thickTop="1" thickBot="1" x14ac:dyDescent="0.25">
      <c r="A30" s="160" t="s">
        <v>345</v>
      </c>
      <c r="B30" s="161"/>
      <c r="C30" s="161"/>
      <c r="D30" s="161"/>
      <c r="E30" s="161"/>
      <c r="F30" s="333">
        <f>T108</f>
        <v>0</v>
      </c>
      <c r="G30" s="184" t="s">
        <v>129</v>
      </c>
      <c r="H30" s="241">
        <f>SUM(H31:H47)</f>
        <v>0</v>
      </c>
      <c r="I30" s="5"/>
      <c r="J30" s="5"/>
      <c r="K30" s="5"/>
      <c r="L30" s="5"/>
      <c r="M30" s="5"/>
      <c r="N30" s="5" t="s">
        <v>14</v>
      </c>
      <c r="O30" s="5"/>
      <c r="P30" s="5"/>
      <c r="Q30" s="48"/>
      <c r="R30" s="5"/>
    </row>
    <row r="31" spans="1:18" ht="18" customHeight="1" thickTop="1" thickBot="1" x14ac:dyDescent="0.25">
      <c r="A31" s="22"/>
      <c r="B31" s="33">
        <v>250201</v>
      </c>
      <c r="C31" s="34" t="s">
        <v>30</v>
      </c>
      <c r="D31" s="35" t="s">
        <v>10</v>
      </c>
      <c r="E31" s="140">
        <f>COUNTIF(V81:V107,1)+COUNTIF(W81:W107,1)+COUNTIF(X81:X107,1)</f>
        <v>0</v>
      </c>
      <c r="F31" s="350">
        <v>33</v>
      </c>
      <c r="G31" s="153">
        <f>E31*F31</f>
        <v>0</v>
      </c>
      <c r="H31" s="165">
        <f>E31</f>
        <v>0</v>
      </c>
      <c r="J31" s="5"/>
      <c r="M31" s="12">
        <f>E31*150</f>
        <v>0</v>
      </c>
    </row>
    <row r="32" spans="1:18" ht="18" customHeight="1" thickTop="1" thickBot="1" x14ac:dyDescent="0.25">
      <c r="A32" s="22"/>
      <c r="B32" s="33">
        <v>250301</v>
      </c>
      <c r="C32" s="34" t="s">
        <v>31</v>
      </c>
      <c r="D32" s="35" t="s">
        <v>10</v>
      </c>
      <c r="E32" s="140">
        <f>COUNTIF(V81:V107,1.5)+COUNTIF(W81:W107,1.5)+COUNTIF(X81:X107,1.5)</f>
        <v>0</v>
      </c>
      <c r="F32" s="350">
        <v>41</v>
      </c>
      <c r="G32" s="153">
        <f t="shared" ref="G32:G47" si="2">E32*F32</f>
        <v>0</v>
      </c>
      <c r="H32" s="165">
        <f t="shared" ref="H32:H47" si="3">E32</f>
        <v>0</v>
      </c>
      <c r="J32" s="5"/>
      <c r="M32" s="12">
        <f>E32*225</f>
        <v>0</v>
      </c>
    </row>
    <row r="33" spans="1:18" ht="18" customHeight="1" thickTop="1" thickBot="1" x14ac:dyDescent="0.25">
      <c r="A33" s="22"/>
      <c r="B33" s="33">
        <v>250401</v>
      </c>
      <c r="C33" s="34" t="s">
        <v>32</v>
      </c>
      <c r="D33" s="35" t="s">
        <v>10</v>
      </c>
      <c r="E33" s="140">
        <f>COUNTIF(V81:V107,2)+COUNTIF(W81:W107,2)+COUNTIF(X81:X107,2)</f>
        <v>0</v>
      </c>
      <c r="F33" s="350">
        <v>49</v>
      </c>
      <c r="G33" s="153">
        <f t="shared" si="2"/>
        <v>0</v>
      </c>
      <c r="H33" s="165">
        <f t="shared" si="3"/>
        <v>0</v>
      </c>
      <c r="J33" s="5"/>
      <c r="M33" s="12">
        <f>E33*300</f>
        <v>0</v>
      </c>
    </row>
    <row r="34" spans="1:18" ht="18" customHeight="1" thickTop="1" thickBot="1" x14ac:dyDescent="0.25">
      <c r="A34" s="22"/>
      <c r="B34" s="33">
        <v>250501</v>
      </c>
      <c r="C34" s="34" t="s">
        <v>33</v>
      </c>
      <c r="D34" s="35" t="s">
        <v>10</v>
      </c>
      <c r="E34" s="140">
        <f>COUNTIF(V81:V107,2.5)+COUNTIF(W81:W107,2.5)+COUNTIF(X81:X107,2.5)</f>
        <v>0</v>
      </c>
      <c r="F34" s="350">
        <v>56</v>
      </c>
      <c r="G34" s="153">
        <f t="shared" si="2"/>
        <v>0</v>
      </c>
      <c r="H34" s="165">
        <f t="shared" si="3"/>
        <v>0</v>
      </c>
      <c r="J34" s="5"/>
      <c r="M34" s="12">
        <f>E34*375</f>
        <v>0</v>
      </c>
    </row>
    <row r="35" spans="1:18" ht="18" customHeight="1" thickTop="1" thickBot="1" x14ac:dyDescent="0.25">
      <c r="A35" s="22"/>
      <c r="B35" s="33">
        <v>250601</v>
      </c>
      <c r="C35" s="34" t="s">
        <v>34</v>
      </c>
      <c r="D35" s="35" t="s">
        <v>10</v>
      </c>
      <c r="E35" s="140">
        <f>COUNTIF(V81:V107,3)+COUNTIF(W81:W107,3)+COUNTIF(X81:X107,3)</f>
        <v>0</v>
      </c>
      <c r="F35" s="350">
        <v>64</v>
      </c>
      <c r="G35" s="153">
        <f t="shared" si="2"/>
        <v>0</v>
      </c>
      <c r="H35" s="165">
        <f t="shared" si="3"/>
        <v>0</v>
      </c>
      <c r="J35" s="5"/>
      <c r="M35" s="12">
        <f>E35*450</f>
        <v>0</v>
      </c>
    </row>
    <row r="36" spans="1:18" ht="18" customHeight="1" thickTop="1" thickBot="1" x14ac:dyDescent="0.25">
      <c r="A36" s="22"/>
      <c r="B36" s="33">
        <v>250701</v>
      </c>
      <c r="C36" s="34" t="s">
        <v>35</v>
      </c>
      <c r="D36" s="35" t="s">
        <v>10</v>
      </c>
      <c r="E36" s="140">
        <f>COUNTIF(V81:V107,3.5)+COUNTIF(W81:W107,3.5)+COUNTIF(X81:X107,3.5)</f>
        <v>0</v>
      </c>
      <c r="F36" s="350">
        <v>73</v>
      </c>
      <c r="G36" s="153">
        <f t="shared" si="2"/>
        <v>0</v>
      </c>
      <c r="H36" s="165">
        <f t="shared" si="3"/>
        <v>0</v>
      </c>
      <c r="I36" s="5"/>
      <c r="J36" s="5"/>
      <c r="K36" s="5"/>
      <c r="L36" s="5"/>
      <c r="M36" s="12">
        <f>E36*525</f>
        <v>0</v>
      </c>
      <c r="N36" s="5"/>
      <c r="O36" s="5"/>
      <c r="P36" s="5"/>
      <c r="Q36" s="48"/>
      <c r="R36" s="5"/>
    </row>
    <row r="37" spans="1:18" ht="18" customHeight="1" thickTop="1" thickBot="1" x14ac:dyDescent="0.25">
      <c r="A37" s="22"/>
      <c r="B37" s="33">
        <v>250801</v>
      </c>
      <c r="C37" s="34" t="s">
        <v>36</v>
      </c>
      <c r="D37" s="35" t="s">
        <v>10</v>
      </c>
      <c r="E37" s="140">
        <f>COUNTIF(V81:V107,4)+COUNTIF(W81:W107,4)+COUNTIF(X81:X107,4)</f>
        <v>0</v>
      </c>
      <c r="F37" s="350">
        <v>82</v>
      </c>
      <c r="G37" s="153">
        <f t="shared" si="2"/>
        <v>0</v>
      </c>
      <c r="H37" s="165">
        <f t="shared" si="3"/>
        <v>0</v>
      </c>
      <c r="J37" s="5"/>
      <c r="M37" s="12">
        <f>E37*600</f>
        <v>0</v>
      </c>
    </row>
    <row r="38" spans="1:18" ht="18" customHeight="1" thickTop="1" thickBot="1" x14ac:dyDescent="0.25">
      <c r="A38" s="22"/>
      <c r="B38" s="33">
        <v>250901</v>
      </c>
      <c r="C38" s="34" t="s">
        <v>37</v>
      </c>
      <c r="D38" s="35" t="s">
        <v>10</v>
      </c>
      <c r="E38" s="140">
        <f>COUNTIF(V81:V107,4.5)+COUNTIF(W81:W107,4.5)+COUNTIF(X81:X107,4.5)</f>
        <v>0</v>
      </c>
      <c r="F38" s="350">
        <v>88</v>
      </c>
      <c r="G38" s="153">
        <f t="shared" si="2"/>
        <v>0</v>
      </c>
      <c r="H38" s="165">
        <f t="shared" si="3"/>
        <v>0</v>
      </c>
      <c r="J38" s="5"/>
      <c r="M38" s="12">
        <f>E38*675</f>
        <v>0</v>
      </c>
    </row>
    <row r="39" spans="1:18" ht="18" customHeight="1" thickTop="1" thickBot="1" x14ac:dyDescent="0.25">
      <c r="A39" s="22"/>
      <c r="B39" s="33">
        <v>251001</v>
      </c>
      <c r="C39" s="34" t="s">
        <v>38</v>
      </c>
      <c r="D39" s="35" t="s">
        <v>10</v>
      </c>
      <c r="E39" s="140">
        <f>COUNTIF(V81:V107,5)+COUNTIF(W81:W107,5)+COUNTIF(X81:X107,5)</f>
        <v>0</v>
      </c>
      <c r="F39" s="350">
        <v>94</v>
      </c>
      <c r="G39" s="153">
        <f t="shared" si="2"/>
        <v>0</v>
      </c>
      <c r="H39" s="165">
        <f t="shared" si="3"/>
        <v>0</v>
      </c>
      <c r="J39" s="5"/>
      <c r="M39" s="12">
        <f>E39*750</f>
        <v>0</v>
      </c>
    </row>
    <row r="40" spans="1:18" ht="18" customHeight="1" thickTop="1" thickBot="1" x14ac:dyDescent="0.25">
      <c r="A40" s="22"/>
      <c r="B40" s="33">
        <v>251201</v>
      </c>
      <c r="C40" s="34" t="s">
        <v>39</v>
      </c>
      <c r="D40" s="35" t="s">
        <v>10</v>
      </c>
      <c r="E40" s="140">
        <f>COUNTIF(V81:V107,6)+COUNTIF(W81:W107,6)+COUNTIF(X81:X107,6)</f>
        <v>0</v>
      </c>
      <c r="F40" s="350">
        <v>117</v>
      </c>
      <c r="G40" s="153">
        <f t="shared" si="2"/>
        <v>0</v>
      </c>
      <c r="H40" s="165">
        <f t="shared" si="3"/>
        <v>0</v>
      </c>
      <c r="J40" s="5"/>
      <c r="M40" s="12">
        <f>E40*900</f>
        <v>0</v>
      </c>
    </row>
    <row r="41" spans="1:18" ht="18" customHeight="1" thickTop="1" thickBot="1" x14ac:dyDescent="0.25">
      <c r="A41" s="22"/>
      <c r="B41" s="33">
        <v>251401</v>
      </c>
      <c r="C41" s="34" t="s">
        <v>361</v>
      </c>
      <c r="D41" s="35" t="s">
        <v>10</v>
      </c>
      <c r="E41" s="140">
        <f>COUNTIF(V81:V107,7)+COUNTIF(W81:W107,7)+COUNTIF(X81:X107,7)</f>
        <v>0</v>
      </c>
      <c r="F41" s="350">
        <v>130</v>
      </c>
      <c r="G41" s="153">
        <f t="shared" si="2"/>
        <v>0</v>
      </c>
      <c r="H41" s="165">
        <f t="shared" si="3"/>
        <v>0</v>
      </c>
      <c r="J41" s="5"/>
      <c r="M41" s="12">
        <f>E41*1070</f>
        <v>0</v>
      </c>
    </row>
    <row r="42" spans="1:18" ht="18" customHeight="1" thickTop="1" thickBot="1" x14ac:dyDescent="0.25">
      <c r="A42" s="22"/>
      <c r="B42" s="33">
        <v>251601</v>
      </c>
      <c r="C42" s="34" t="s">
        <v>41</v>
      </c>
      <c r="D42" s="35" t="s">
        <v>10</v>
      </c>
      <c r="E42" s="140">
        <f>COUNTIF(V81:V107,8)+COUNTIF(W81:W107,8)+COUNTIF(X81:X107,8)</f>
        <v>0</v>
      </c>
      <c r="F42" s="350">
        <v>157</v>
      </c>
      <c r="G42" s="153">
        <f t="shared" si="2"/>
        <v>0</v>
      </c>
      <c r="H42" s="165">
        <f t="shared" si="3"/>
        <v>0</v>
      </c>
      <c r="J42" s="5"/>
      <c r="M42" s="12">
        <f>E42*1200</f>
        <v>0</v>
      </c>
    </row>
    <row r="43" spans="1:18" ht="18" customHeight="1" thickTop="1" thickBot="1" x14ac:dyDescent="0.25">
      <c r="A43" s="22"/>
      <c r="B43" s="33">
        <v>251801</v>
      </c>
      <c r="C43" s="34" t="s">
        <v>42</v>
      </c>
      <c r="D43" s="35" t="s">
        <v>10</v>
      </c>
      <c r="E43" s="140">
        <f>COUNTIF(V81:V107,9)+COUNTIF(W81:W107,9)+COUNTIF(X81:X107,9)</f>
        <v>0</v>
      </c>
      <c r="F43" s="350">
        <v>179</v>
      </c>
      <c r="G43" s="153">
        <f t="shared" si="2"/>
        <v>0</v>
      </c>
      <c r="H43" s="165">
        <f t="shared" si="3"/>
        <v>0</v>
      </c>
      <c r="J43" s="5"/>
      <c r="M43" s="12">
        <f>E43*1350</f>
        <v>0</v>
      </c>
    </row>
    <row r="44" spans="1:18" ht="18" customHeight="1" thickTop="1" thickBot="1" x14ac:dyDescent="0.25">
      <c r="A44" s="22"/>
      <c r="B44" s="33">
        <v>252001</v>
      </c>
      <c r="C44" s="34" t="s">
        <v>43</v>
      </c>
      <c r="D44" s="35" t="s">
        <v>10</v>
      </c>
      <c r="E44" s="140">
        <f>COUNTIF(V81:V107,10)+COUNTIF(W81:W107,10)+COUNTIF(X81:X107,10)</f>
        <v>0</v>
      </c>
      <c r="F44" s="350">
        <v>186</v>
      </c>
      <c r="G44" s="153">
        <f t="shared" si="2"/>
        <v>0</v>
      </c>
      <c r="H44" s="165">
        <f t="shared" si="3"/>
        <v>0</v>
      </c>
      <c r="J44" s="5"/>
      <c r="M44" s="12">
        <f>E44*1500</f>
        <v>0</v>
      </c>
    </row>
    <row r="45" spans="1:18" ht="18" customHeight="1" thickTop="1" thickBot="1" x14ac:dyDescent="0.25">
      <c r="A45" s="22"/>
      <c r="B45" s="33">
        <v>252402</v>
      </c>
      <c r="C45" s="34" t="s">
        <v>44</v>
      </c>
      <c r="D45" s="35" t="s">
        <v>10</v>
      </c>
      <c r="E45" s="140">
        <f>COUNTIF(V81:V107,12)+COUNTIF(W81:W107,12)+COUNTIF(X81:X107,12)</f>
        <v>0</v>
      </c>
      <c r="F45" s="350">
        <v>216</v>
      </c>
      <c r="G45" s="153">
        <f t="shared" si="2"/>
        <v>0</v>
      </c>
      <c r="H45" s="165">
        <f t="shared" si="3"/>
        <v>0</v>
      </c>
      <c r="J45" s="5"/>
      <c r="M45" s="12">
        <f>E45*1800</f>
        <v>0</v>
      </c>
    </row>
    <row r="46" spans="1:18" s="105" customFormat="1" ht="18" customHeight="1" thickTop="1" thickBot="1" x14ac:dyDescent="0.25">
      <c r="A46" s="22"/>
      <c r="B46" s="33">
        <v>253002</v>
      </c>
      <c r="C46" s="34" t="s">
        <v>45</v>
      </c>
      <c r="D46" s="35" t="s">
        <v>10</v>
      </c>
      <c r="E46" s="140">
        <f>COUNTIF(V81:V107,15)+COUNTIF(W81:W107,15)+COUNTIF(X81:X107,15)</f>
        <v>0</v>
      </c>
      <c r="F46" s="350">
        <v>272</v>
      </c>
      <c r="G46" s="153">
        <f t="shared" si="2"/>
        <v>0</v>
      </c>
      <c r="H46" s="165">
        <f t="shared" si="3"/>
        <v>0</v>
      </c>
      <c r="J46" s="5"/>
      <c r="M46" s="12">
        <f>E46*2250</f>
        <v>0</v>
      </c>
      <c r="Q46" s="56"/>
    </row>
    <row r="47" spans="1:18" ht="18" customHeight="1" thickTop="1" thickBot="1" x14ac:dyDescent="0.25">
      <c r="A47" s="22"/>
      <c r="B47" s="33">
        <v>254002</v>
      </c>
      <c r="C47" s="34" t="s">
        <v>46</v>
      </c>
      <c r="D47" s="35" t="s">
        <v>10</v>
      </c>
      <c r="E47" s="140">
        <f>COUNTIF(V81:V107,20)+COUNTIF(W81:W107,20)+COUNTIF(X81:X107,20)</f>
        <v>0</v>
      </c>
      <c r="F47" s="350">
        <v>377</v>
      </c>
      <c r="G47" s="153">
        <f t="shared" si="2"/>
        <v>0</v>
      </c>
      <c r="H47" s="165">
        <f t="shared" si="3"/>
        <v>0</v>
      </c>
      <c r="J47" s="5"/>
      <c r="M47" s="12">
        <f>E47*3000</f>
        <v>0</v>
      </c>
    </row>
    <row r="48" spans="1:18" ht="20.100000000000001" customHeight="1" thickTop="1" thickBot="1" x14ac:dyDescent="0.25">
      <c r="A48" s="159" t="s">
        <v>138</v>
      </c>
      <c r="B48" s="181"/>
      <c r="C48" s="181"/>
      <c r="D48" s="181"/>
      <c r="E48" s="181"/>
      <c r="F48" s="181"/>
      <c r="G48" s="21"/>
      <c r="H48" s="164">
        <f>SUM(H49:H58)</f>
        <v>0</v>
      </c>
      <c r="J48" s="5"/>
    </row>
    <row r="49" spans="1:17" ht="27.9" customHeight="1" thickTop="1" thickBot="1" x14ac:dyDescent="0.25">
      <c r="A49" s="22"/>
      <c r="B49" s="22">
        <v>825400</v>
      </c>
      <c r="C49" s="66" t="s">
        <v>380</v>
      </c>
      <c r="D49" s="22" t="s">
        <v>10</v>
      </c>
      <c r="E49" s="22">
        <f>P108+Y108</f>
        <v>0</v>
      </c>
      <c r="F49" s="352">
        <v>102</v>
      </c>
      <c r="G49" s="153">
        <f t="shared" ref="G49:G56" si="4">E49*F49</f>
        <v>0</v>
      </c>
      <c r="H49" s="283">
        <f>E49</f>
        <v>0</v>
      </c>
      <c r="J49" s="5"/>
      <c r="M49" s="310"/>
      <c r="Q49" s="6"/>
    </row>
    <row r="50" spans="1:17" ht="27.9" customHeight="1" thickTop="1" thickBot="1" x14ac:dyDescent="0.25">
      <c r="A50" s="22"/>
      <c r="B50" s="22">
        <v>825880</v>
      </c>
      <c r="C50" s="66" t="s">
        <v>103</v>
      </c>
      <c r="D50" s="22" t="s">
        <v>10</v>
      </c>
      <c r="E50" s="22">
        <f>P108+Y108</f>
        <v>0</v>
      </c>
      <c r="F50" s="352">
        <v>92</v>
      </c>
      <c r="G50" s="153">
        <f t="shared" si="4"/>
        <v>0</v>
      </c>
      <c r="H50" s="283">
        <f t="shared" ref="H50:H58" si="5">E50</f>
        <v>0</v>
      </c>
      <c r="J50" s="5"/>
      <c r="M50" s="190"/>
      <c r="Q50" s="6"/>
    </row>
    <row r="51" spans="1:17" ht="27.9" customHeight="1" thickTop="1" thickBot="1" x14ac:dyDescent="0.25">
      <c r="A51" s="22"/>
      <c r="B51" s="22">
        <v>825870</v>
      </c>
      <c r="C51" s="66" t="s">
        <v>366</v>
      </c>
      <c r="D51" s="22" t="s">
        <v>10</v>
      </c>
      <c r="E51" s="22">
        <f>P108+Y108</f>
        <v>0</v>
      </c>
      <c r="F51" s="352">
        <v>84</v>
      </c>
      <c r="G51" s="153">
        <f t="shared" si="4"/>
        <v>0</v>
      </c>
      <c r="H51" s="283">
        <f t="shared" si="5"/>
        <v>0</v>
      </c>
      <c r="J51" s="5"/>
      <c r="M51" s="190"/>
      <c r="Q51" s="6"/>
    </row>
    <row r="52" spans="1:17" ht="27.9" customHeight="1" thickTop="1" thickBot="1" x14ac:dyDescent="0.25">
      <c r="A52" s="22"/>
      <c r="B52" s="26">
        <v>825840</v>
      </c>
      <c r="C52" s="29" t="s">
        <v>327</v>
      </c>
      <c r="D52" s="30" t="s">
        <v>10</v>
      </c>
      <c r="E52" s="30">
        <f>P108+Y108</f>
        <v>0</v>
      </c>
      <c r="F52" s="352">
        <v>45</v>
      </c>
      <c r="G52" s="88">
        <f t="shared" si="4"/>
        <v>0</v>
      </c>
      <c r="H52" s="283">
        <f t="shared" si="5"/>
        <v>0</v>
      </c>
      <c r="J52" s="5"/>
      <c r="Q52" s="6"/>
    </row>
    <row r="53" spans="1:17" ht="27.9" customHeight="1" thickTop="1" thickBot="1" x14ac:dyDescent="0.25">
      <c r="A53" s="22"/>
      <c r="B53" s="26">
        <v>827000</v>
      </c>
      <c r="C53" s="27" t="s">
        <v>365</v>
      </c>
      <c r="D53" s="28" t="s">
        <v>10</v>
      </c>
      <c r="E53" s="30">
        <f>P108+Y108</f>
        <v>0</v>
      </c>
      <c r="F53" s="352">
        <v>25</v>
      </c>
      <c r="G53" s="88">
        <f t="shared" si="4"/>
        <v>0</v>
      </c>
      <c r="H53" s="283">
        <f t="shared" si="5"/>
        <v>0</v>
      </c>
      <c r="J53" s="5"/>
      <c r="Q53" s="6"/>
    </row>
    <row r="54" spans="1:17" ht="27.9" customHeight="1" thickTop="1" thickBot="1" x14ac:dyDescent="0.25">
      <c r="A54" s="22"/>
      <c r="B54" s="26">
        <v>838101</v>
      </c>
      <c r="C54" s="29" t="s">
        <v>59</v>
      </c>
      <c r="D54" s="30" t="s">
        <v>10</v>
      </c>
      <c r="E54" s="30">
        <f>P108+Y108</f>
        <v>0</v>
      </c>
      <c r="F54" s="352">
        <v>26</v>
      </c>
      <c r="G54" s="88">
        <f t="shared" si="4"/>
        <v>0</v>
      </c>
      <c r="H54" s="283">
        <f t="shared" si="5"/>
        <v>0</v>
      </c>
      <c r="J54" s="5"/>
      <c r="Q54" s="6"/>
    </row>
    <row r="55" spans="1:17" ht="18" customHeight="1" thickTop="1" thickBot="1" x14ac:dyDescent="0.25">
      <c r="A55" s="22"/>
      <c r="B55" s="26">
        <v>860199</v>
      </c>
      <c r="C55" s="29" t="s">
        <v>328</v>
      </c>
      <c r="D55" s="30" t="s">
        <v>10</v>
      </c>
      <c r="E55" s="30"/>
      <c r="F55" s="352">
        <v>13</v>
      </c>
      <c r="G55" s="154">
        <f t="shared" si="4"/>
        <v>0</v>
      </c>
      <c r="H55" s="283">
        <f t="shared" si="5"/>
        <v>0</v>
      </c>
      <c r="J55" s="5"/>
      <c r="Q55" s="6"/>
    </row>
    <row r="56" spans="1:17" ht="18" customHeight="1" thickTop="1" thickBot="1" x14ac:dyDescent="0.25">
      <c r="A56" s="22"/>
      <c r="B56" s="41">
        <v>730300</v>
      </c>
      <c r="C56" s="42" t="s">
        <v>104</v>
      </c>
      <c r="D56" s="43" t="s">
        <v>57</v>
      </c>
      <c r="E56" s="40">
        <f>(ROUNDUP(K108*1.05/6,0))</f>
        <v>0</v>
      </c>
      <c r="F56" s="352">
        <v>28</v>
      </c>
      <c r="G56" s="153">
        <f t="shared" si="4"/>
        <v>0</v>
      </c>
      <c r="H56" s="283">
        <f t="shared" si="5"/>
        <v>0</v>
      </c>
      <c r="J56" s="5"/>
      <c r="Q56" s="6"/>
    </row>
    <row r="57" spans="1:17" ht="27.9" customHeight="1" thickTop="1" thickBot="1" x14ac:dyDescent="0.25">
      <c r="A57" s="93"/>
      <c r="B57" s="96">
        <v>630112</v>
      </c>
      <c r="C57" s="95" t="s">
        <v>387</v>
      </c>
      <c r="D57" s="94" t="s">
        <v>10</v>
      </c>
      <c r="E57" s="40">
        <f>(ROUNDUP(T108*1.05/3,0))</f>
        <v>0</v>
      </c>
      <c r="F57" s="352">
        <v>81</v>
      </c>
      <c r="G57" s="153">
        <f t="shared" ref="G57:G58" si="6">E57*F57</f>
        <v>0</v>
      </c>
      <c r="H57" s="283">
        <f t="shared" si="5"/>
        <v>0</v>
      </c>
      <c r="J57" s="5"/>
    </row>
    <row r="58" spans="1:17" ht="27.9" customHeight="1" thickTop="1" thickBot="1" x14ac:dyDescent="0.25">
      <c r="A58" s="93"/>
      <c r="B58" s="96">
        <v>630113</v>
      </c>
      <c r="C58" s="95" t="s">
        <v>333</v>
      </c>
      <c r="D58" s="94" t="s">
        <v>10</v>
      </c>
      <c r="E58" s="104">
        <f>(ROUNDUP(T108*1.05/4.8,0))</f>
        <v>0</v>
      </c>
      <c r="F58" s="352">
        <v>123</v>
      </c>
      <c r="G58" s="153">
        <f t="shared" si="6"/>
        <v>0</v>
      </c>
      <c r="H58" s="283">
        <f t="shared" si="5"/>
        <v>0</v>
      </c>
      <c r="J58" s="5"/>
    </row>
    <row r="59" spans="1:17" ht="18" customHeight="1" thickTop="1" thickBot="1" x14ac:dyDescent="0.25">
      <c r="A59" s="390" t="s">
        <v>16</v>
      </c>
      <c r="B59" s="431"/>
      <c r="C59" s="431"/>
      <c r="D59" s="431"/>
      <c r="E59" s="431"/>
      <c r="F59" s="431"/>
      <c r="G59" s="88">
        <f>SUM(G20:G58)</f>
        <v>0</v>
      </c>
      <c r="H59" s="56" t="s">
        <v>66</v>
      </c>
    </row>
    <row r="60" spans="1:17" ht="18" customHeight="1" thickTop="1" thickBot="1" x14ac:dyDescent="0.25">
      <c r="A60" s="67">
        <v>0.05</v>
      </c>
      <c r="B60" s="391" t="s">
        <v>67</v>
      </c>
      <c r="C60" s="393"/>
      <c r="D60" s="393"/>
      <c r="E60" s="393"/>
      <c r="F60" s="393"/>
      <c r="G60" s="89">
        <f>G59*(1-A60)</f>
        <v>0</v>
      </c>
      <c r="H60" s="56" t="s">
        <v>66</v>
      </c>
    </row>
    <row r="61" spans="1:17" ht="18" customHeight="1" thickTop="1" thickBot="1" x14ac:dyDescent="0.25">
      <c r="A61" s="432" t="s">
        <v>17</v>
      </c>
      <c r="B61" s="433"/>
      <c r="C61" s="433"/>
      <c r="D61" s="433"/>
      <c r="E61" s="433"/>
      <c r="F61" s="433"/>
      <c r="G61" s="157">
        <f>G60*1.21</f>
        <v>0</v>
      </c>
      <c r="H61" s="56" t="s">
        <v>66</v>
      </c>
    </row>
    <row r="62" spans="1:17" ht="12" thickTop="1" x14ac:dyDescent="0.2"/>
    <row r="63" spans="1:17" ht="11.25" customHeight="1" x14ac:dyDescent="0.2"/>
    <row r="64" spans="1:17" ht="28.5" customHeight="1" x14ac:dyDescent="0.2">
      <c r="A64" s="389" t="s">
        <v>18</v>
      </c>
      <c r="B64" s="389"/>
      <c r="C64" s="389"/>
      <c r="D64" s="389"/>
      <c r="E64" s="389"/>
      <c r="F64" s="389"/>
      <c r="G64" s="389"/>
    </row>
    <row r="65" spans="1:26" ht="24.75" customHeight="1" x14ac:dyDescent="0.2">
      <c r="A65" s="404" t="s">
        <v>61</v>
      </c>
      <c r="B65" s="404"/>
      <c r="C65" s="404"/>
      <c r="D65" s="404"/>
      <c r="E65" s="404"/>
      <c r="F65" s="404"/>
      <c r="G65" s="404"/>
    </row>
    <row r="66" spans="1:26" ht="17.25" customHeight="1" x14ac:dyDescent="0.2">
      <c r="A66" s="404" t="s">
        <v>337</v>
      </c>
      <c r="B66" s="404"/>
      <c r="C66" s="404"/>
      <c r="D66" s="404"/>
      <c r="E66" s="404"/>
      <c r="F66" s="404"/>
      <c r="G66" s="404"/>
      <c r="Q66" s="6"/>
    </row>
    <row r="67" spans="1:26" ht="17.25" customHeight="1" x14ac:dyDescent="0.3">
      <c r="A67" s="404" t="s">
        <v>208</v>
      </c>
      <c r="B67" s="414"/>
      <c r="C67" s="414"/>
      <c r="D67" s="235">
        <f>SUM(M20:M47)/1000</f>
        <v>0</v>
      </c>
      <c r="E67" s="49"/>
      <c r="F67" s="49"/>
      <c r="G67" s="49"/>
    </row>
    <row r="68" spans="1:26" ht="14.4" x14ac:dyDescent="0.3">
      <c r="A68" s="4"/>
      <c r="B68" s="49"/>
      <c r="C68" s="49"/>
      <c r="D68" s="59"/>
      <c r="E68" s="49"/>
      <c r="F68" s="49"/>
      <c r="G68" s="49"/>
    </row>
    <row r="69" spans="1:26" ht="17.25" customHeight="1" x14ac:dyDescent="0.2">
      <c r="A69" s="2" t="s">
        <v>19</v>
      </c>
      <c r="B69" s="4"/>
      <c r="C69" s="4"/>
      <c r="D69" s="4"/>
      <c r="E69" s="4"/>
      <c r="F69" s="4"/>
      <c r="G69" s="4"/>
      <c r="H69" s="105"/>
    </row>
    <row r="70" spans="1:26" ht="14.25" customHeight="1" x14ac:dyDescent="0.2">
      <c r="A70" s="389" t="s">
        <v>20</v>
      </c>
      <c r="B70" s="389"/>
      <c r="C70" s="389"/>
      <c r="D70" s="389"/>
      <c r="E70" s="389"/>
      <c r="F70" s="389"/>
      <c r="G70" s="389"/>
    </row>
    <row r="71" spans="1:26" ht="15.75" customHeight="1" x14ac:dyDescent="0.2">
      <c r="A71" s="389" t="s">
        <v>21</v>
      </c>
      <c r="B71" s="389"/>
      <c r="C71" s="389"/>
      <c r="D71" s="389"/>
      <c r="E71" s="389"/>
      <c r="F71" s="389"/>
      <c r="G71" s="389"/>
    </row>
    <row r="72" spans="1:26" ht="14.25" customHeight="1" x14ac:dyDescent="0.2">
      <c r="A72" s="389" t="s">
        <v>22</v>
      </c>
      <c r="B72" s="389"/>
      <c r="C72" s="389"/>
      <c r="D72" s="389"/>
      <c r="E72" s="389"/>
      <c r="F72" s="389"/>
      <c r="G72" s="389"/>
    </row>
    <row r="74" spans="1:26" x14ac:dyDescent="0.2">
      <c r="B74" s="1" t="s">
        <v>11</v>
      </c>
      <c r="C74" s="2"/>
    </row>
    <row r="75" spans="1:26" ht="14.4" x14ac:dyDescent="0.2">
      <c r="B75" s="373"/>
      <c r="C75" s="374"/>
    </row>
    <row r="76" spans="1:26" ht="14.4" x14ac:dyDescent="0.2">
      <c r="B76" s="373"/>
      <c r="C76" s="374"/>
    </row>
    <row r="77" spans="1:26" ht="14.4" x14ac:dyDescent="0.3">
      <c r="B77" s="418"/>
      <c r="C77" s="409"/>
    </row>
    <row r="78" spans="1:26" ht="15" thickBot="1" x14ac:dyDescent="0.35">
      <c r="B78" s="434" t="s">
        <v>12</v>
      </c>
      <c r="C78" s="409"/>
    </row>
    <row r="79" spans="1:26" ht="15" thickBot="1" x14ac:dyDescent="0.35">
      <c r="B79" s="434"/>
      <c r="C79" s="409"/>
      <c r="J79" s="428" t="s">
        <v>179</v>
      </c>
      <c r="K79" s="429"/>
      <c r="L79" s="429"/>
      <c r="M79" s="429"/>
      <c r="N79" s="429"/>
      <c r="O79" s="429"/>
      <c r="P79" s="429"/>
      <c r="Q79" s="430"/>
      <c r="S79" s="412" t="s">
        <v>180</v>
      </c>
      <c r="T79" s="413"/>
      <c r="U79" s="413"/>
      <c r="V79" s="413"/>
      <c r="W79" s="413"/>
      <c r="X79" s="413"/>
      <c r="Y79" s="413"/>
      <c r="Z79" s="435"/>
    </row>
    <row r="80" spans="1:26" ht="65.25" customHeight="1" thickBot="1" x14ac:dyDescent="0.35">
      <c r="B80" s="434"/>
      <c r="C80" s="409"/>
      <c r="I80" s="12"/>
      <c r="J80" s="179" t="s">
        <v>71</v>
      </c>
      <c r="K80" s="179" t="s">
        <v>143</v>
      </c>
      <c r="L80" s="179" t="s">
        <v>188</v>
      </c>
      <c r="M80" s="179" t="s">
        <v>162</v>
      </c>
      <c r="N80" s="179" t="s">
        <v>140</v>
      </c>
      <c r="O80" s="179" t="s">
        <v>141</v>
      </c>
      <c r="P80" s="180" t="s">
        <v>178</v>
      </c>
      <c r="Q80" s="179" t="s">
        <v>313</v>
      </c>
      <c r="R80" s="178"/>
      <c r="S80" s="179" t="s">
        <v>71</v>
      </c>
      <c r="T80" s="179" t="s">
        <v>187</v>
      </c>
      <c r="U80" s="179" t="s">
        <v>189</v>
      </c>
      <c r="V80" s="179" t="s">
        <v>139</v>
      </c>
      <c r="W80" s="179" t="s">
        <v>176</v>
      </c>
      <c r="X80" s="179" t="s">
        <v>177</v>
      </c>
      <c r="Y80" s="180" t="s">
        <v>178</v>
      </c>
      <c r="Z80" s="179" t="s">
        <v>312</v>
      </c>
    </row>
    <row r="81" spans="2:26" ht="12.6" thickTop="1" thickBot="1" x14ac:dyDescent="0.25">
      <c r="B81" s="7"/>
      <c r="I81" s="65"/>
      <c r="J81" s="138" t="s">
        <v>125</v>
      </c>
      <c r="K81" s="176"/>
      <c r="L81" s="113" t="str">
        <f>IF(ISNUMBER(K81),K81*135/140,"")</f>
        <v/>
      </c>
      <c r="M81" s="127"/>
      <c r="N81" s="127"/>
      <c r="O81" s="127"/>
      <c r="P81" s="63" t="str">
        <f>IF(OR(ISNUMBER(M81), ISNUMBER(N81), ISNUMBER(O81)), 1, "")</f>
        <v/>
      </c>
      <c r="Q81" s="211" t="s">
        <v>152</v>
      </c>
      <c r="R81" s="249"/>
      <c r="S81" s="138" t="s">
        <v>125</v>
      </c>
      <c r="T81" s="177"/>
      <c r="U81" s="113" t="str">
        <f t="shared" ref="U81:U94" si="7">IF(ISNUMBER(T81),T81*135/150,"")</f>
        <v/>
      </c>
      <c r="V81" s="191"/>
      <c r="W81" s="191"/>
      <c r="X81" s="191"/>
      <c r="Y81" s="63" t="str">
        <f>IF(OR(ISNUMBER(V81), ISNUMBER(W81), ISNUMBER(X81)), 1, "")</f>
        <v/>
      </c>
      <c r="Z81" s="144" t="s">
        <v>164</v>
      </c>
    </row>
    <row r="82" spans="2:26" ht="12.6" thickTop="1" thickBot="1" x14ac:dyDescent="0.25">
      <c r="I82" s="112"/>
      <c r="J82" s="138" t="s">
        <v>81</v>
      </c>
      <c r="K82" s="176"/>
      <c r="L82" s="113" t="str">
        <f t="shared" ref="L82:L94" si="8">IF(ISNUMBER(K82),K82*135/150,"")</f>
        <v/>
      </c>
      <c r="M82" s="126"/>
      <c r="N82" s="126"/>
      <c r="O82" s="126"/>
      <c r="P82" s="63" t="str">
        <f t="shared" ref="P82:P93" si="9">IF(OR(ISNUMBER(M82), ISNUMBER(N82), ISNUMBER(O82)), 1, "")</f>
        <v/>
      </c>
      <c r="Q82" s="211" t="s">
        <v>153</v>
      </c>
      <c r="R82" s="257"/>
      <c r="S82" s="138" t="s">
        <v>81</v>
      </c>
      <c r="T82" s="177"/>
      <c r="U82" s="113" t="str">
        <f t="shared" si="7"/>
        <v/>
      </c>
      <c r="V82" s="192"/>
      <c r="W82" s="192"/>
      <c r="X82" s="192"/>
      <c r="Y82" s="63" t="str">
        <f t="shared" ref="Y82:Y93" si="10">IF(OR(ISNUMBER(V82), ISNUMBER(W82), ISNUMBER(X82)), 1, "")</f>
        <v/>
      </c>
      <c r="Z82" s="144" t="s">
        <v>165</v>
      </c>
    </row>
    <row r="83" spans="2:26" ht="15" customHeight="1" thickTop="1" thickBot="1" x14ac:dyDescent="0.25">
      <c r="I83" s="112"/>
      <c r="J83" s="138" t="s">
        <v>82</v>
      </c>
      <c r="K83" s="176"/>
      <c r="L83" s="113" t="str">
        <f t="shared" si="8"/>
        <v/>
      </c>
      <c r="M83" s="126"/>
      <c r="N83" s="126"/>
      <c r="O83" s="126"/>
      <c r="P83" s="63" t="str">
        <f t="shared" si="9"/>
        <v/>
      </c>
      <c r="Q83" s="211" t="s">
        <v>154</v>
      </c>
      <c r="R83" s="257"/>
      <c r="S83" s="138" t="s">
        <v>82</v>
      </c>
      <c r="T83" s="177"/>
      <c r="U83" s="113" t="str">
        <f t="shared" si="7"/>
        <v/>
      </c>
      <c r="V83" s="192"/>
      <c r="W83" s="192"/>
      <c r="X83" s="192"/>
      <c r="Y83" s="63" t="str">
        <f t="shared" si="10"/>
        <v/>
      </c>
      <c r="Z83" s="144" t="s">
        <v>153</v>
      </c>
    </row>
    <row r="84" spans="2:26" ht="12.6" thickTop="1" thickBot="1" x14ac:dyDescent="0.25">
      <c r="I84" s="112"/>
      <c r="J84" s="138" t="s">
        <v>83</v>
      </c>
      <c r="K84" s="176"/>
      <c r="L84" s="113" t="str">
        <f t="shared" si="8"/>
        <v/>
      </c>
      <c r="M84" s="126"/>
      <c r="N84" s="126"/>
      <c r="O84" s="126"/>
      <c r="P84" s="63" t="str">
        <f t="shared" si="9"/>
        <v/>
      </c>
      <c r="Q84" s="211" t="s">
        <v>155</v>
      </c>
      <c r="R84" s="257"/>
      <c r="S84" s="138" t="s">
        <v>83</v>
      </c>
      <c r="T84" s="177"/>
      <c r="U84" s="113" t="str">
        <f t="shared" si="7"/>
        <v/>
      </c>
      <c r="V84" s="192"/>
      <c r="W84" s="192"/>
      <c r="X84" s="192"/>
      <c r="Y84" s="63" t="str">
        <f t="shared" si="10"/>
        <v/>
      </c>
      <c r="Z84" s="144" t="s">
        <v>166</v>
      </c>
    </row>
    <row r="85" spans="2:26" ht="12.6" thickTop="1" thickBot="1" x14ac:dyDescent="0.25">
      <c r="I85" s="112"/>
      <c r="J85" s="138" t="s">
        <v>80</v>
      </c>
      <c r="K85" s="176"/>
      <c r="L85" s="113" t="str">
        <f t="shared" si="8"/>
        <v/>
      </c>
      <c r="M85" s="126"/>
      <c r="N85" s="126"/>
      <c r="O85" s="126"/>
      <c r="P85" s="63" t="str">
        <f t="shared" si="9"/>
        <v/>
      </c>
      <c r="Q85" s="211" t="s">
        <v>156</v>
      </c>
      <c r="R85" s="257"/>
      <c r="S85" s="138" t="s">
        <v>80</v>
      </c>
      <c r="T85" s="177"/>
      <c r="U85" s="113" t="str">
        <f t="shared" si="7"/>
        <v/>
      </c>
      <c r="V85" s="192"/>
      <c r="W85" s="192"/>
      <c r="X85" s="192"/>
      <c r="Y85" s="63" t="str">
        <f t="shared" si="10"/>
        <v/>
      </c>
      <c r="Z85" s="144" t="s">
        <v>154</v>
      </c>
    </row>
    <row r="86" spans="2:26" ht="12.6" thickTop="1" thickBot="1" x14ac:dyDescent="0.25">
      <c r="I86" s="112"/>
      <c r="J86" s="139" t="s">
        <v>73</v>
      </c>
      <c r="K86" s="176"/>
      <c r="L86" s="113" t="str">
        <f t="shared" si="8"/>
        <v/>
      </c>
      <c r="M86" s="126"/>
      <c r="N86" s="126"/>
      <c r="O86" s="126"/>
      <c r="P86" s="63" t="str">
        <f t="shared" si="9"/>
        <v/>
      </c>
      <c r="Q86" s="211" t="s">
        <v>157</v>
      </c>
      <c r="R86" s="257"/>
      <c r="S86" s="139" t="s">
        <v>73</v>
      </c>
      <c r="T86" s="177"/>
      <c r="U86" s="113" t="str">
        <f t="shared" si="7"/>
        <v/>
      </c>
      <c r="V86" s="192"/>
      <c r="W86" s="192"/>
      <c r="X86" s="192"/>
      <c r="Y86" s="63" t="str">
        <f t="shared" si="10"/>
        <v/>
      </c>
      <c r="Z86" s="144" t="s">
        <v>167</v>
      </c>
    </row>
    <row r="87" spans="2:26" ht="12.6" thickTop="1" thickBot="1" x14ac:dyDescent="0.25">
      <c r="I87" s="257" t="s">
        <v>79</v>
      </c>
      <c r="J87" s="139" t="s">
        <v>74</v>
      </c>
      <c r="K87" s="176"/>
      <c r="L87" s="113" t="str">
        <f t="shared" si="8"/>
        <v/>
      </c>
      <c r="M87" s="126"/>
      <c r="N87" s="126"/>
      <c r="O87" s="126"/>
      <c r="P87" s="63" t="str">
        <f t="shared" si="9"/>
        <v/>
      </c>
      <c r="Q87" s="211" t="s">
        <v>158</v>
      </c>
      <c r="R87" s="257" t="s">
        <v>79</v>
      </c>
      <c r="S87" s="139" t="s">
        <v>74</v>
      </c>
      <c r="T87" s="177"/>
      <c r="U87" s="113" t="str">
        <f t="shared" si="7"/>
        <v/>
      </c>
      <c r="V87" s="192"/>
      <c r="W87" s="192"/>
      <c r="X87" s="192"/>
      <c r="Y87" s="63" t="str">
        <f t="shared" si="10"/>
        <v/>
      </c>
      <c r="Z87" s="144" t="s">
        <v>168</v>
      </c>
    </row>
    <row r="88" spans="2:26" ht="12.6" thickTop="1" thickBot="1" x14ac:dyDescent="0.25">
      <c r="I88" s="272">
        <f>SUM(K81:K93)</f>
        <v>0</v>
      </c>
      <c r="J88" s="139" t="s">
        <v>115</v>
      </c>
      <c r="K88" s="176"/>
      <c r="L88" s="113" t="str">
        <f t="shared" si="8"/>
        <v/>
      </c>
      <c r="M88" s="126"/>
      <c r="N88" s="126"/>
      <c r="O88" s="126"/>
      <c r="P88" s="63" t="str">
        <f t="shared" si="9"/>
        <v/>
      </c>
      <c r="Q88" s="211" t="s">
        <v>159</v>
      </c>
      <c r="R88" s="272">
        <f>SUM(T81:T93)</f>
        <v>0</v>
      </c>
      <c r="S88" s="139" t="s">
        <v>115</v>
      </c>
      <c r="T88" s="177"/>
      <c r="U88" s="113" t="str">
        <f t="shared" si="7"/>
        <v/>
      </c>
      <c r="V88" s="192"/>
      <c r="W88" s="192"/>
      <c r="X88" s="192"/>
      <c r="Y88" s="63" t="str">
        <f t="shared" si="10"/>
        <v/>
      </c>
      <c r="Z88" s="144" t="s">
        <v>169</v>
      </c>
    </row>
    <row r="89" spans="2:26" ht="12.6" thickTop="1" thickBot="1" x14ac:dyDescent="0.25">
      <c r="I89" s="257" t="s">
        <v>129</v>
      </c>
      <c r="J89" s="139" t="s">
        <v>77</v>
      </c>
      <c r="K89" s="176"/>
      <c r="L89" s="113" t="str">
        <f t="shared" si="8"/>
        <v/>
      </c>
      <c r="M89" s="126"/>
      <c r="N89" s="126"/>
      <c r="O89" s="126"/>
      <c r="P89" s="63" t="str">
        <f t="shared" si="9"/>
        <v/>
      </c>
      <c r="Q89" s="211" t="s">
        <v>160</v>
      </c>
      <c r="R89" s="257" t="s">
        <v>129</v>
      </c>
      <c r="S89" s="139" t="s">
        <v>77</v>
      </c>
      <c r="T89" s="177"/>
      <c r="U89" s="113" t="str">
        <f t="shared" si="7"/>
        <v/>
      </c>
      <c r="V89" s="192"/>
      <c r="W89" s="192"/>
      <c r="X89" s="192"/>
      <c r="Y89" s="63" t="str">
        <f t="shared" si="10"/>
        <v/>
      </c>
      <c r="Z89" s="144" t="s">
        <v>156</v>
      </c>
    </row>
    <row r="90" spans="2:26" ht="12.6" thickTop="1" thickBot="1" x14ac:dyDescent="0.25">
      <c r="I90" s="255"/>
      <c r="J90" s="139" t="s">
        <v>76</v>
      </c>
      <c r="K90" s="176"/>
      <c r="L90" s="113" t="str">
        <f t="shared" si="8"/>
        <v/>
      </c>
      <c r="M90" s="126"/>
      <c r="N90" s="126"/>
      <c r="O90" s="126"/>
      <c r="P90" s="63" t="str">
        <f t="shared" si="9"/>
        <v/>
      </c>
      <c r="Q90" s="211" t="s">
        <v>161</v>
      </c>
      <c r="R90" s="255"/>
      <c r="S90" s="139" t="s">
        <v>76</v>
      </c>
      <c r="T90" s="177"/>
      <c r="U90" s="113" t="str">
        <f t="shared" si="7"/>
        <v/>
      </c>
      <c r="V90" s="192"/>
      <c r="W90" s="192"/>
      <c r="X90" s="192"/>
      <c r="Y90" s="63" t="str">
        <f t="shared" si="10"/>
        <v/>
      </c>
      <c r="Z90" s="144" t="s">
        <v>170</v>
      </c>
    </row>
    <row r="91" spans="2:26" ht="12.6" thickTop="1" thickBot="1" x14ac:dyDescent="0.25">
      <c r="I91" s="255"/>
      <c r="J91" s="209" t="s">
        <v>75</v>
      </c>
      <c r="K91" s="176"/>
      <c r="L91" s="113" t="str">
        <f t="shared" si="8"/>
        <v/>
      </c>
      <c r="M91" s="126"/>
      <c r="N91" s="126"/>
      <c r="O91" s="126"/>
      <c r="P91" s="63" t="str">
        <f t="shared" si="9"/>
        <v/>
      </c>
      <c r="Q91" s="120"/>
      <c r="R91" s="255"/>
      <c r="S91" s="209" t="s">
        <v>75</v>
      </c>
      <c r="T91" s="177"/>
      <c r="U91" s="113" t="str">
        <f t="shared" si="7"/>
        <v/>
      </c>
      <c r="V91" s="192"/>
      <c r="W91" s="192"/>
      <c r="X91" s="192"/>
      <c r="Y91" s="63" t="str">
        <f t="shared" si="10"/>
        <v/>
      </c>
      <c r="Z91" s="144" t="s">
        <v>158</v>
      </c>
    </row>
    <row r="92" spans="2:26" ht="12.6" thickTop="1" thickBot="1" x14ac:dyDescent="0.25">
      <c r="I92" s="255"/>
      <c r="J92" s="209" t="s">
        <v>75</v>
      </c>
      <c r="K92" s="193"/>
      <c r="L92" s="219" t="str">
        <f t="shared" si="8"/>
        <v/>
      </c>
      <c r="M92" s="231"/>
      <c r="N92" s="231"/>
      <c r="O92" s="231"/>
      <c r="P92" s="72" t="str">
        <f t="shared" si="9"/>
        <v/>
      </c>
      <c r="Q92" s="120"/>
      <c r="R92" s="255"/>
      <c r="S92" s="209" t="s">
        <v>75</v>
      </c>
      <c r="T92" s="177"/>
      <c r="U92" s="219" t="str">
        <f t="shared" si="7"/>
        <v/>
      </c>
      <c r="V92" s="192"/>
      <c r="W92" s="192"/>
      <c r="X92" s="192"/>
      <c r="Y92" s="63" t="str">
        <f t="shared" si="10"/>
        <v/>
      </c>
      <c r="Z92" s="144" t="s">
        <v>159</v>
      </c>
    </row>
    <row r="93" spans="2:26" ht="12.6" thickTop="1" thickBot="1" x14ac:dyDescent="0.25">
      <c r="I93" s="260"/>
      <c r="J93" s="139" t="s">
        <v>75</v>
      </c>
      <c r="K93" s="176"/>
      <c r="L93" s="113" t="str">
        <f t="shared" si="8"/>
        <v/>
      </c>
      <c r="M93" s="126"/>
      <c r="N93" s="126"/>
      <c r="O93" s="126"/>
      <c r="P93" s="63" t="str">
        <f t="shared" si="9"/>
        <v/>
      </c>
      <c r="Q93" s="120"/>
      <c r="R93" s="260"/>
      <c r="S93" s="134" t="s">
        <v>75</v>
      </c>
      <c r="T93" s="177"/>
      <c r="U93" s="113" t="str">
        <f t="shared" si="7"/>
        <v/>
      </c>
      <c r="V93" s="192"/>
      <c r="W93" s="192"/>
      <c r="X93" s="192"/>
      <c r="Y93" s="63" t="str">
        <f t="shared" si="10"/>
        <v/>
      </c>
      <c r="Z93" s="144" t="s">
        <v>160</v>
      </c>
    </row>
    <row r="94" spans="2:26" ht="12.6" thickTop="1" thickBot="1" x14ac:dyDescent="0.25">
      <c r="I94" s="178"/>
      <c r="J94" s="100"/>
      <c r="K94" s="131"/>
      <c r="L94" s="223" t="str">
        <f t="shared" si="8"/>
        <v/>
      </c>
      <c r="M94" s="233"/>
      <c r="N94" s="233"/>
      <c r="O94" s="233"/>
      <c r="P94" s="100"/>
      <c r="Q94" s="120"/>
      <c r="R94" s="178"/>
      <c r="S94" s="100"/>
      <c r="T94" s="131"/>
      <c r="U94" s="223" t="str">
        <f t="shared" si="7"/>
        <v/>
      </c>
      <c r="V94" s="167"/>
      <c r="W94" s="167"/>
      <c r="X94" s="167"/>
      <c r="Y94" s="100"/>
      <c r="Z94" s="144" t="s">
        <v>171</v>
      </c>
    </row>
    <row r="95" spans="2:26" ht="12.6" thickTop="1" thickBot="1" x14ac:dyDescent="0.25">
      <c r="I95" s="249"/>
      <c r="J95" s="138" t="s">
        <v>73</v>
      </c>
      <c r="K95" s="176"/>
      <c r="L95" s="113" t="str">
        <f>IF(ISNUMBER(K95),K95*135/150,"")</f>
        <v/>
      </c>
      <c r="M95" s="126"/>
      <c r="N95" s="126"/>
      <c r="O95" s="126"/>
      <c r="P95" s="63" t="str">
        <f>IF(OR(ISNUMBER(M95), ISNUMBER(N95), ISNUMBER(O95)), 1, "")</f>
        <v/>
      </c>
      <c r="Q95" s="120"/>
      <c r="R95" s="249"/>
      <c r="S95" s="132" t="s">
        <v>73</v>
      </c>
      <c r="T95" s="177"/>
      <c r="U95" s="113" t="str">
        <f>IF(ISNUMBER(T95),T95*135/150,"")</f>
        <v/>
      </c>
      <c r="V95" s="192"/>
      <c r="W95" s="192"/>
      <c r="X95" s="192"/>
      <c r="Y95" s="63" t="str">
        <f>IF(OR(ISNUMBER(V95), ISNUMBER(W95), ISNUMBER(X95)), 1, "")</f>
        <v/>
      </c>
      <c r="Z95" s="144" t="s">
        <v>172</v>
      </c>
    </row>
    <row r="96" spans="2:26" ht="12.6" thickTop="1" thickBot="1" x14ac:dyDescent="0.25">
      <c r="I96" s="257"/>
      <c r="J96" s="138" t="s">
        <v>85</v>
      </c>
      <c r="K96" s="194"/>
      <c r="L96" s="208" t="str">
        <f t="shared" ref="L96:L105" si="11">IF(ISNUMBER(K96),K96*135/150,"")</f>
        <v/>
      </c>
      <c r="M96" s="232"/>
      <c r="N96" s="232"/>
      <c r="O96" s="232"/>
      <c r="P96" s="73" t="str">
        <f t="shared" ref="P96:P107" si="12">IF(OR(ISNUMBER(M96), ISNUMBER(N96), ISNUMBER(O96)), 1, "")</f>
        <v/>
      </c>
      <c r="Q96" s="120"/>
      <c r="R96" s="257"/>
      <c r="S96" s="220" t="s">
        <v>85</v>
      </c>
      <c r="T96" s="221"/>
      <c r="U96" s="208" t="str">
        <f t="shared" ref="U96:U107" si="13">IF(ISNUMBER(T96),T96*135/150,"")</f>
        <v/>
      </c>
      <c r="V96" s="222"/>
      <c r="W96" s="192"/>
      <c r="X96" s="192"/>
      <c r="Y96" s="63" t="str">
        <f t="shared" ref="Y96:Y107" si="14">IF(OR(ISNUMBER(V96), ISNUMBER(W96), ISNUMBER(X96)), 1, "")</f>
        <v/>
      </c>
      <c r="Z96" s="144" t="s">
        <v>173</v>
      </c>
    </row>
    <row r="97" spans="9:30" ht="12.6" thickTop="1" thickBot="1" x14ac:dyDescent="0.25">
      <c r="I97" s="257"/>
      <c r="J97" s="138" t="s">
        <v>86</v>
      </c>
      <c r="K97" s="176"/>
      <c r="L97" s="113" t="str">
        <f t="shared" si="11"/>
        <v/>
      </c>
      <c r="M97" s="126"/>
      <c r="N97" s="126"/>
      <c r="O97" s="126"/>
      <c r="P97" s="63" t="str">
        <f t="shared" si="12"/>
        <v/>
      </c>
      <c r="Q97" s="120"/>
      <c r="R97" s="257"/>
      <c r="S97" s="138" t="s">
        <v>86</v>
      </c>
      <c r="T97" s="177"/>
      <c r="U97" s="113" t="str">
        <f t="shared" si="13"/>
        <v/>
      </c>
      <c r="V97" s="192"/>
      <c r="W97" s="192"/>
      <c r="X97" s="192"/>
      <c r="Y97" s="63" t="str">
        <f t="shared" si="14"/>
        <v/>
      </c>
      <c r="Z97" s="144" t="s">
        <v>174</v>
      </c>
    </row>
    <row r="98" spans="9:30" ht="12.6" thickTop="1" thickBot="1" x14ac:dyDescent="0.25">
      <c r="I98" s="257"/>
      <c r="J98" s="138" t="s">
        <v>75</v>
      </c>
      <c r="K98" s="176"/>
      <c r="L98" s="113" t="str">
        <f t="shared" si="11"/>
        <v/>
      </c>
      <c r="M98" s="126"/>
      <c r="N98" s="126"/>
      <c r="O98" s="126"/>
      <c r="P98" s="63" t="str">
        <f t="shared" si="12"/>
        <v/>
      </c>
      <c r="Q98" s="120"/>
      <c r="R98" s="257"/>
      <c r="S98" s="138" t="s">
        <v>75</v>
      </c>
      <c r="T98" s="177"/>
      <c r="U98" s="113" t="str">
        <f t="shared" si="13"/>
        <v/>
      </c>
      <c r="V98" s="192"/>
      <c r="W98" s="192"/>
      <c r="X98" s="192"/>
      <c r="Y98" s="63" t="str">
        <f t="shared" si="14"/>
        <v/>
      </c>
      <c r="Z98" s="120"/>
    </row>
    <row r="99" spans="9:30" ht="12.6" thickTop="1" thickBot="1" x14ac:dyDescent="0.25">
      <c r="I99" s="257" t="s">
        <v>84</v>
      </c>
      <c r="J99" s="138" t="s">
        <v>75</v>
      </c>
      <c r="K99" s="176"/>
      <c r="L99" s="113" t="str">
        <f t="shared" si="11"/>
        <v/>
      </c>
      <c r="M99" s="126"/>
      <c r="N99" s="126"/>
      <c r="O99" s="126"/>
      <c r="P99" s="63" t="str">
        <f t="shared" si="12"/>
        <v/>
      </c>
      <c r="Q99" s="120"/>
      <c r="R99" s="257" t="s">
        <v>84</v>
      </c>
      <c r="S99" s="138" t="s">
        <v>75</v>
      </c>
      <c r="T99" s="177"/>
      <c r="U99" s="113" t="str">
        <f t="shared" si="13"/>
        <v/>
      </c>
      <c r="V99" s="192"/>
      <c r="W99" s="192"/>
      <c r="X99" s="192"/>
      <c r="Y99" s="63" t="str">
        <f t="shared" si="14"/>
        <v/>
      </c>
      <c r="Z99" s="120"/>
    </row>
    <row r="100" spans="9:30" ht="12.6" thickTop="1" thickBot="1" x14ac:dyDescent="0.25">
      <c r="I100" s="272">
        <f>SUM(K95:K107)</f>
        <v>0</v>
      </c>
      <c r="J100" s="138" t="s">
        <v>75</v>
      </c>
      <c r="K100" s="176"/>
      <c r="L100" s="113" t="str">
        <f t="shared" si="11"/>
        <v/>
      </c>
      <c r="M100" s="126"/>
      <c r="N100" s="126"/>
      <c r="O100" s="126"/>
      <c r="P100" s="63" t="str">
        <f t="shared" si="12"/>
        <v/>
      </c>
      <c r="Q100" s="120"/>
      <c r="R100" s="272">
        <f>SUM(T95:T107)</f>
        <v>0</v>
      </c>
      <c r="S100" s="138" t="s">
        <v>75</v>
      </c>
      <c r="T100" s="177"/>
      <c r="U100" s="113" t="str">
        <f t="shared" si="13"/>
        <v/>
      </c>
      <c r="V100" s="192"/>
      <c r="W100" s="192"/>
      <c r="X100" s="192"/>
      <c r="Y100" s="63" t="str">
        <f t="shared" si="14"/>
        <v/>
      </c>
      <c r="Z100" s="120"/>
      <c r="AA100" s="130"/>
      <c r="AB100" s="130"/>
      <c r="AC100" s="130"/>
      <c r="AD100" s="130"/>
    </row>
    <row r="101" spans="9:30" ht="12.75" customHeight="1" thickTop="1" thickBot="1" x14ac:dyDescent="0.25">
      <c r="I101" s="257" t="s">
        <v>129</v>
      </c>
      <c r="J101" s="138" t="s">
        <v>77</v>
      </c>
      <c r="K101" s="176"/>
      <c r="L101" s="113" t="str">
        <f t="shared" si="11"/>
        <v/>
      </c>
      <c r="M101" s="126"/>
      <c r="N101" s="126"/>
      <c r="O101" s="126"/>
      <c r="P101" s="63" t="str">
        <f t="shared" si="12"/>
        <v/>
      </c>
      <c r="Q101" s="120"/>
      <c r="R101" s="257" t="s">
        <v>129</v>
      </c>
      <c r="S101" s="138" t="s">
        <v>77</v>
      </c>
      <c r="T101" s="177"/>
      <c r="U101" s="113" t="str">
        <f t="shared" si="13"/>
        <v/>
      </c>
      <c r="V101" s="192"/>
      <c r="W101" s="192"/>
      <c r="X101" s="192"/>
      <c r="Y101" s="63" t="str">
        <f t="shared" si="14"/>
        <v/>
      </c>
      <c r="Z101" s="120"/>
      <c r="AA101" s="130"/>
      <c r="AB101" s="130"/>
      <c r="AC101" s="130"/>
      <c r="AD101" s="130"/>
    </row>
    <row r="102" spans="9:30" ht="14.25" customHeight="1" thickTop="1" thickBot="1" x14ac:dyDescent="0.25">
      <c r="I102" s="255"/>
      <c r="J102" s="138" t="s">
        <v>77</v>
      </c>
      <c r="K102" s="176"/>
      <c r="L102" s="113" t="str">
        <f t="shared" si="11"/>
        <v/>
      </c>
      <c r="M102" s="127"/>
      <c r="N102" s="127"/>
      <c r="O102" s="127"/>
      <c r="P102" s="63" t="str">
        <f t="shared" si="12"/>
        <v/>
      </c>
      <c r="Q102" s="120"/>
      <c r="R102" s="255"/>
      <c r="S102" s="138" t="s">
        <v>77</v>
      </c>
      <c r="T102" s="177"/>
      <c r="U102" s="113" t="str">
        <f t="shared" si="13"/>
        <v/>
      </c>
      <c r="V102" s="191"/>
      <c r="W102" s="191"/>
      <c r="X102" s="191"/>
      <c r="Y102" s="63" t="str">
        <f t="shared" si="14"/>
        <v/>
      </c>
      <c r="Z102" s="120"/>
      <c r="AA102" s="130"/>
      <c r="AB102" s="130"/>
      <c r="AC102" s="130"/>
      <c r="AD102" s="130"/>
    </row>
    <row r="103" spans="9:30" ht="14.25" customHeight="1" thickTop="1" thickBot="1" x14ac:dyDescent="0.25">
      <c r="I103" s="255"/>
      <c r="J103" s="138" t="s">
        <v>77</v>
      </c>
      <c r="K103" s="176"/>
      <c r="L103" s="113" t="str">
        <f t="shared" si="11"/>
        <v/>
      </c>
      <c r="M103" s="127"/>
      <c r="N103" s="127"/>
      <c r="O103" s="127"/>
      <c r="P103" s="63" t="str">
        <f t="shared" si="12"/>
        <v/>
      </c>
      <c r="Q103" s="120"/>
      <c r="R103" s="255"/>
      <c r="S103" s="138" t="s">
        <v>77</v>
      </c>
      <c r="T103" s="177"/>
      <c r="U103" s="113" t="str">
        <f t="shared" si="13"/>
        <v/>
      </c>
      <c r="V103" s="191"/>
      <c r="W103" s="191"/>
      <c r="X103" s="191"/>
      <c r="Y103" s="63" t="str">
        <f t="shared" si="14"/>
        <v/>
      </c>
      <c r="Z103" s="120"/>
      <c r="AA103" s="130"/>
      <c r="AB103" s="130"/>
      <c r="AC103" s="130"/>
      <c r="AD103" s="130"/>
    </row>
    <row r="104" spans="9:30" ht="14.25" customHeight="1" thickTop="1" thickBot="1" x14ac:dyDescent="0.25">
      <c r="I104" s="133"/>
      <c r="J104" s="138" t="s">
        <v>73</v>
      </c>
      <c r="K104" s="176"/>
      <c r="L104" s="113" t="str">
        <f t="shared" si="11"/>
        <v/>
      </c>
      <c r="M104" s="127"/>
      <c r="N104" s="127"/>
      <c r="O104" s="127"/>
      <c r="P104" s="63" t="str">
        <f t="shared" si="12"/>
        <v/>
      </c>
      <c r="Q104" s="120"/>
      <c r="R104" s="133"/>
      <c r="S104" s="138" t="s">
        <v>73</v>
      </c>
      <c r="T104" s="177"/>
      <c r="U104" s="113" t="str">
        <f t="shared" si="13"/>
        <v/>
      </c>
      <c r="V104" s="191"/>
      <c r="W104" s="191"/>
      <c r="X104" s="191"/>
      <c r="Y104" s="63" t="str">
        <f t="shared" si="14"/>
        <v/>
      </c>
      <c r="Z104" s="120"/>
      <c r="AA104" s="130"/>
      <c r="AB104" s="130"/>
      <c r="AC104" s="130"/>
      <c r="AD104" s="130"/>
    </row>
    <row r="105" spans="9:30" ht="14.25" customHeight="1" thickTop="1" thickBot="1" x14ac:dyDescent="0.25">
      <c r="I105" s="133"/>
      <c r="J105" s="209" t="s">
        <v>75</v>
      </c>
      <c r="K105" s="176"/>
      <c r="L105" s="113" t="str">
        <f t="shared" si="11"/>
        <v/>
      </c>
      <c r="M105" s="127"/>
      <c r="N105" s="127"/>
      <c r="O105" s="127"/>
      <c r="P105" s="63" t="str">
        <f t="shared" si="12"/>
        <v/>
      </c>
      <c r="Q105" s="120"/>
      <c r="R105" s="133"/>
      <c r="S105" s="209" t="s">
        <v>75</v>
      </c>
      <c r="T105" s="177"/>
      <c r="U105" s="113" t="str">
        <f t="shared" si="13"/>
        <v/>
      </c>
      <c r="V105" s="191"/>
      <c r="W105" s="191"/>
      <c r="X105" s="191"/>
      <c r="Y105" s="63" t="str">
        <f t="shared" si="14"/>
        <v/>
      </c>
      <c r="Z105" s="120"/>
      <c r="AA105" s="130"/>
      <c r="AB105" s="130"/>
      <c r="AC105" s="130"/>
      <c r="AD105" s="130"/>
    </row>
    <row r="106" spans="9:30" ht="14.25" customHeight="1" thickTop="1" thickBot="1" x14ac:dyDescent="0.25">
      <c r="I106" s="206"/>
      <c r="J106" s="209" t="s">
        <v>75</v>
      </c>
      <c r="K106" s="176"/>
      <c r="L106" s="113"/>
      <c r="M106" s="127"/>
      <c r="N106" s="127"/>
      <c r="O106" s="127"/>
      <c r="P106" s="63" t="str">
        <f t="shared" si="12"/>
        <v/>
      </c>
      <c r="R106" s="206"/>
      <c r="S106" s="209" t="s">
        <v>75</v>
      </c>
      <c r="T106" s="177"/>
      <c r="U106" s="113" t="str">
        <f t="shared" ref="U106" si="15">IF(ISNUMBER(T106),T106*135/150,"")</f>
        <v/>
      </c>
      <c r="V106" s="191"/>
      <c r="W106" s="191"/>
      <c r="X106" s="191"/>
      <c r="Y106" s="63" t="str">
        <f t="shared" si="14"/>
        <v/>
      </c>
      <c r="AA106" s="130"/>
      <c r="AB106" s="130"/>
      <c r="AC106" s="130"/>
      <c r="AD106" s="130"/>
    </row>
    <row r="107" spans="9:30" ht="14.25" customHeight="1" thickTop="1" thickBot="1" x14ac:dyDescent="0.25">
      <c r="I107" s="207"/>
      <c r="J107" s="139" t="s">
        <v>75</v>
      </c>
      <c r="K107" s="176"/>
      <c r="L107" s="113" t="str">
        <f t="shared" ref="L107" si="16">IF(ISNUMBER(K107),K107*135/150,"")</f>
        <v/>
      </c>
      <c r="M107" s="127"/>
      <c r="N107" s="127"/>
      <c r="O107" s="127"/>
      <c r="P107" s="63" t="str">
        <f t="shared" si="12"/>
        <v/>
      </c>
      <c r="R107" s="207"/>
      <c r="S107" s="209" t="s">
        <v>75</v>
      </c>
      <c r="T107" s="177"/>
      <c r="U107" s="113" t="str">
        <f t="shared" si="13"/>
        <v/>
      </c>
      <c r="V107" s="216"/>
      <c r="W107" s="216"/>
      <c r="X107" s="216"/>
      <c r="Y107" s="63" t="str">
        <f t="shared" si="14"/>
        <v/>
      </c>
      <c r="AA107" s="130"/>
      <c r="AB107" s="130"/>
      <c r="AC107" s="130"/>
      <c r="AD107" s="130"/>
    </row>
    <row r="108" spans="9:30" ht="14.25" customHeight="1" thickTop="1" thickBot="1" x14ac:dyDescent="0.25">
      <c r="J108" s="212" t="s">
        <v>209</v>
      </c>
      <c r="K108" s="183">
        <f>I88+I100</f>
        <v>0</v>
      </c>
      <c r="L108" s="146"/>
      <c r="M108" s="147"/>
      <c r="N108" s="147"/>
      <c r="O108" s="147"/>
      <c r="P108" s="118">
        <f>SUM(P81:P107)</f>
        <v>0</v>
      </c>
      <c r="Q108" s="100"/>
      <c r="R108" s="169"/>
      <c r="S108" s="212" t="s">
        <v>209</v>
      </c>
      <c r="T108" s="183">
        <f>R88+R100</f>
        <v>0</v>
      </c>
      <c r="U108" s="214"/>
      <c r="V108" s="215"/>
      <c r="W108" s="215"/>
      <c r="X108" s="215"/>
      <c r="Y108" s="118">
        <f>SUM(Y81:Y107)</f>
        <v>0</v>
      </c>
      <c r="Z108" s="130"/>
      <c r="AA108" s="130"/>
      <c r="AB108" s="130"/>
      <c r="AC108" s="130"/>
      <c r="AD108" s="130"/>
    </row>
    <row r="109" spans="9:30" ht="14.25" customHeight="1" thickTop="1" x14ac:dyDescent="0.2">
      <c r="K109" s="99" t="s">
        <v>129</v>
      </c>
      <c r="L109" s="99"/>
      <c r="M109" s="99"/>
      <c r="N109" s="99"/>
      <c r="O109" s="99"/>
      <c r="P109" s="99" t="s">
        <v>128</v>
      </c>
      <c r="Q109" s="100"/>
      <c r="R109" s="169"/>
      <c r="T109" s="99" t="s">
        <v>129</v>
      </c>
      <c r="U109" s="115"/>
      <c r="V109" s="167"/>
      <c r="W109" s="100"/>
      <c r="X109" s="168"/>
      <c r="Y109" s="99" t="s">
        <v>128</v>
      </c>
      <c r="Z109" s="130"/>
      <c r="AA109" s="130"/>
      <c r="AB109" s="130"/>
      <c r="AC109" s="130"/>
      <c r="AD109" s="130"/>
    </row>
    <row r="110" spans="9:30" ht="14.25" customHeight="1" x14ac:dyDescent="0.2">
      <c r="L110" s="169"/>
      <c r="M110" s="98"/>
      <c r="N110" s="100"/>
      <c r="O110" s="115"/>
      <c r="P110" s="166"/>
      <c r="Q110" s="100"/>
      <c r="R110" s="169"/>
      <c r="S110" s="98"/>
      <c r="T110" s="166"/>
      <c r="U110" s="115"/>
      <c r="V110" s="167"/>
      <c r="W110" s="100"/>
      <c r="X110" s="168"/>
      <c r="Y110" s="130"/>
      <c r="Z110" s="130"/>
      <c r="AA110" s="130"/>
      <c r="AB110" s="130"/>
      <c r="AC110" s="130"/>
      <c r="AD110" s="130"/>
    </row>
    <row r="111" spans="9:30" ht="14.25" customHeight="1" x14ac:dyDescent="0.2">
      <c r="L111" s="169"/>
      <c r="M111" s="98"/>
      <c r="N111" s="100"/>
      <c r="O111" s="115"/>
      <c r="P111" s="166"/>
      <c r="Q111" s="100"/>
      <c r="R111" s="169"/>
      <c r="S111" s="98"/>
      <c r="T111" s="100"/>
      <c r="U111" s="115"/>
      <c r="V111" s="167"/>
      <c r="W111" s="100"/>
      <c r="X111" s="168"/>
      <c r="Y111" s="130"/>
      <c r="Z111" s="130"/>
      <c r="AA111" s="130"/>
      <c r="AB111" s="130"/>
      <c r="AC111" s="130"/>
      <c r="AD111" s="130"/>
    </row>
    <row r="112" spans="9:30" ht="14.25" customHeight="1" x14ac:dyDescent="0.2">
      <c r="L112" s="169"/>
      <c r="M112" s="98"/>
      <c r="N112" s="100"/>
      <c r="O112" s="115"/>
      <c r="P112" s="166"/>
      <c r="Q112" s="100"/>
      <c r="R112" s="169"/>
      <c r="S112" s="98"/>
      <c r="T112" s="100"/>
      <c r="U112" s="115"/>
      <c r="V112" s="167"/>
      <c r="W112" s="100"/>
      <c r="X112" s="168"/>
      <c r="Y112" s="130"/>
      <c r="Z112" s="130"/>
      <c r="AA112" s="130"/>
      <c r="AB112" s="130"/>
      <c r="AC112" s="130"/>
      <c r="AD112" s="130"/>
    </row>
    <row r="113" spans="12:30" ht="14.25" customHeight="1" x14ac:dyDescent="0.2">
      <c r="L113" s="169"/>
      <c r="M113" s="98"/>
      <c r="N113" s="100"/>
      <c r="O113" s="115"/>
      <c r="P113" s="166"/>
      <c r="Q113" s="100"/>
      <c r="R113" s="169"/>
      <c r="S113" s="98"/>
      <c r="T113" s="166"/>
      <c r="U113" s="115"/>
      <c r="V113" s="167"/>
      <c r="W113" s="100"/>
      <c r="X113" s="168"/>
      <c r="Y113" s="130"/>
      <c r="Z113" s="130"/>
      <c r="AA113" s="130"/>
      <c r="AB113" s="130"/>
      <c r="AC113" s="130"/>
      <c r="AD113" s="130"/>
    </row>
    <row r="114" spans="12:30" ht="14.25" customHeight="1" x14ac:dyDescent="0.2">
      <c r="L114" s="169"/>
      <c r="M114" s="98"/>
      <c r="N114" s="100"/>
      <c r="O114" s="115"/>
      <c r="P114" s="166"/>
      <c r="Q114" s="100"/>
      <c r="R114" s="169"/>
      <c r="S114" s="98"/>
      <c r="T114" s="100"/>
      <c r="U114" s="115"/>
      <c r="V114" s="167"/>
      <c r="W114" s="100"/>
      <c r="X114" s="168"/>
      <c r="Y114" s="130"/>
      <c r="Z114" s="130"/>
      <c r="AA114" s="130"/>
      <c r="AB114" s="130"/>
      <c r="AC114" s="130"/>
      <c r="AD114" s="130"/>
    </row>
    <row r="115" spans="12:30" ht="14.25" customHeight="1" x14ac:dyDescent="0.2">
      <c r="L115" s="169"/>
      <c r="M115" s="98"/>
      <c r="N115" s="100"/>
      <c r="O115" s="115"/>
      <c r="P115" s="166"/>
      <c r="Q115" s="100"/>
      <c r="R115" s="130"/>
      <c r="S115" s="98"/>
      <c r="T115" s="100"/>
      <c r="U115" s="115"/>
      <c r="V115" s="167"/>
      <c r="W115" s="100"/>
      <c r="X115" s="168"/>
      <c r="Y115" s="130"/>
      <c r="Z115" s="130"/>
      <c r="AA115" s="130"/>
      <c r="AB115" s="130"/>
      <c r="AC115" s="130"/>
      <c r="AD115" s="130"/>
    </row>
    <row r="116" spans="12:30" ht="14.25" customHeight="1" x14ac:dyDescent="0.2">
      <c r="L116" s="169"/>
      <c r="M116" s="98"/>
      <c r="N116" s="100"/>
      <c r="O116" s="115"/>
      <c r="P116" s="166"/>
      <c r="Q116" s="100"/>
      <c r="R116" s="423"/>
      <c r="S116" s="98"/>
      <c r="T116" s="131"/>
      <c r="U116" s="115"/>
      <c r="V116" s="166"/>
      <c r="W116" s="100"/>
      <c r="X116" s="168"/>
      <c r="Y116" s="130"/>
      <c r="Z116" s="130"/>
      <c r="AA116" s="130"/>
      <c r="AB116" s="130"/>
      <c r="AC116" s="130"/>
      <c r="AD116" s="130"/>
    </row>
    <row r="117" spans="12:30" ht="14.25" customHeight="1" x14ac:dyDescent="0.2">
      <c r="L117" s="130"/>
      <c r="M117" s="100"/>
      <c r="N117" s="131"/>
      <c r="O117" s="115"/>
      <c r="P117" s="166"/>
      <c r="Q117" s="100"/>
      <c r="R117" s="424"/>
      <c r="S117" s="100"/>
      <c r="T117" s="100"/>
      <c r="U117" s="115"/>
      <c r="V117" s="167"/>
      <c r="W117" s="100"/>
      <c r="X117" s="168"/>
      <c r="Y117" s="130"/>
      <c r="Z117" s="130"/>
      <c r="AA117" s="130"/>
      <c r="AB117" s="130"/>
      <c r="AC117" s="130"/>
      <c r="AD117" s="130"/>
    </row>
    <row r="118" spans="12:30" ht="14.25" customHeight="1" x14ac:dyDescent="0.2">
      <c r="L118" s="423"/>
      <c r="M118" s="98"/>
      <c r="N118" s="100"/>
      <c r="O118" s="115"/>
      <c r="P118" s="166"/>
      <c r="Q118" s="100"/>
      <c r="R118" s="424"/>
      <c r="S118" s="98"/>
      <c r="T118" s="100"/>
      <c r="U118" s="115"/>
      <c r="V118" s="167"/>
      <c r="W118" s="100"/>
      <c r="X118" s="168"/>
      <c r="Y118" s="130"/>
      <c r="Z118" s="130"/>
      <c r="AA118" s="130"/>
      <c r="AB118" s="130"/>
      <c r="AC118" s="130"/>
      <c r="AD118" s="130"/>
    </row>
    <row r="119" spans="12:30" ht="14.25" customHeight="1" x14ac:dyDescent="0.2">
      <c r="L119" s="423"/>
      <c r="M119" s="98"/>
      <c r="N119" s="100"/>
      <c r="O119" s="115"/>
      <c r="P119" s="166"/>
      <c r="Q119" s="100"/>
      <c r="R119" s="424"/>
      <c r="S119" s="98"/>
      <c r="T119" s="100"/>
      <c r="U119" s="115"/>
      <c r="V119" s="167"/>
      <c r="W119" s="100"/>
      <c r="X119" s="168"/>
      <c r="Y119" s="130"/>
      <c r="Z119" s="130"/>
      <c r="AA119" s="130"/>
      <c r="AB119" s="130"/>
      <c r="AC119" s="130"/>
      <c r="AD119" s="130"/>
    </row>
    <row r="120" spans="12:30" ht="14.25" customHeight="1" x14ac:dyDescent="0.2">
      <c r="L120" s="423"/>
      <c r="M120" s="98"/>
      <c r="N120" s="100"/>
      <c r="O120" s="115"/>
      <c r="P120" s="166"/>
      <c r="Q120" s="100"/>
      <c r="R120" s="424"/>
      <c r="S120" s="98"/>
      <c r="T120" s="166"/>
      <c r="U120" s="115"/>
      <c r="V120" s="167"/>
      <c r="W120" s="100"/>
      <c r="X120" s="168"/>
      <c r="Y120" s="130"/>
      <c r="Z120" s="130"/>
      <c r="AA120" s="130"/>
      <c r="AB120" s="130"/>
      <c r="AC120" s="130"/>
      <c r="AD120" s="130"/>
    </row>
    <row r="121" spans="12:30" ht="14.25" customHeight="1" x14ac:dyDescent="0.2">
      <c r="L121" s="423"/>
      <c r="M121" s="98"/>
      <c r="N121" s="100"/>
      <c r="O121" s="115"/>
      <c r="P121" s="166"/>
      <c r="Q121" s="100"/>
      <c r="R121" s="424"/>
      <c r="S121" s="98"/>
      <c r="T121" s="166"/>
      <c r="U121" s="115"/>
      <c r="V121" s="167"/>
      <c r="W121" s="100"/>
      <c r="X121" s="168"/>
      <c r="Y121" s="130"/>
      <c r="Z121" s="130"/>
      <c r="AA121" s="130"/>
      <c r="AB121" s="130"/>
      <c r="AC121" s="130"/>
      <c r="AD121" s="130"/>
    </row>
    <row r="122" spans="12:30" ht="14.25" customHeight="1" x14ac:dyDescent="0.2">
      <c r="L122" s="423"/>
      <c r="M122" s="98"/>
      <c r="N122" s="100"/>
      <c r="O122" s="115"/>
      <c r="P122" s="166"/>
      <c r="Q122" s="100"/>
      <c r="R122" s="424"/>
      <c r="S122" s="98"/>
      <c r="T122" s="100"/>
      <c r="U122" s="115"/>
      <c r="V122" s="167"/>
      <c r="W122" s="100"/>
      <c r="X122" s="168"/>
      <c r="Y122" s="130"/>
      <c r="Z122" s="130"/>
      <c r="AA122" s="130"/>
      <c r="AB122" s="130"/>
      <c r="AC122" s="130"/>
      <c r="AD122" s="130"/>
    </row>
    <row r="123" spans="12:30" ht="14.25" customHeight="1" x14ac:dyDescent="0.2">
      <c r="L123" s="423"/>
      <c r="M123" s="98"/>
      <c r="N123" s="100"/>
      <c r="O123" s="115"/>
      <c r="P123" s="166"/>
      <c r="Q123" s="168"/>
      <c r="R123" s="424"/>
      <c r="S123" s="98"/>
      <c r="T123" s="166"/>
      <c r="U123" s="115"/>
      <c r="V123" s="167"/>
      <c r="W123" s="100"/>
      <c r="X123" s="168"/>
      <c r="Y123" s="130"/>
      <c r="Z123" s="130"/>
      <c r="AA123" s="130"/>
      <c r="AB123" s="130"/>
      <c r="AC123" s="130"/>
      <c r="AD123" s="130"/>
    </row>
    <row r="124" spans="12:30" ht="14.25" customHeight="1" x14ac:dyDescent="0.2">
      <c r="L124" s="423"/>
      <c r="M124" s="98"/>
      <c r="N124" s="100"/>
      <c r="O124" s="115"/>
      <c r="P124" s="166"/>
      <c r="Q124" s="168"/>
      <c r="R124" s="424"/>
      <c r="S124" s="98"/>
      <c r="T124" s="100"/>
      <c r="U124" s="115"/>
      <c r="V124" s="167"/>
      <c r="W124" s="168"/>
      <c r="X124" s="168"/>
      <c r="Y124" s="130"/>
      <c r="Z124" s="130"/>
      <c r="AA124" s="130"/>
      <c r="AB124" s="130"/>
      <c r="AC124" s="130"/>
      <c r="AD124" s="130"/>
    </row>
    <row r="125" spans="12:30" ht="14.25" customHeight="1" x14ac:dyDescent="0.2">
      <c r="L125" s="423"/>
      <c r="M125" s="98"/>
      <c r="N125" s="100"/>
      <c r="O125" s="115"/>
      <c r="P125" s="166"/>
      <c r="Q125" s="168"/>
      <c r="R125" s="424"/>
      <c r="S125" s="98"/>
      <c r="T125" s="100"/>
      <c r="U125" s="115"/>
      <c r="V125" s="167"/>
      <c r="W125" s="168"/>
      <c r="X125" s="168"/>
      <c r="Y125" s="130"/>
      <c r="Z125" s="130"/>
      <c r="AA125" s="130"/>
      <c r="AB125" s="130"/>
      <c r="AC125" s="130"/>
      <c r="AD125" s="130"/>
    </row>
    <row r="126" spans="12:30" ht="14.25" customHeight="1" x14ac:dyDescent="0.2">
      <c r="L126" s="423"/>
      <c r="M126" s="98"/>
      <c r="N126" s="100"/>
      <c r="O126" s="115"/>
      <c r="P126" s="166"/>
      <c r="Q126" s="168"/>
      <c r="R126" s="424"/>
      <c r="S126" s="98"/>
      <c r="T126" s="100"/>
      <c r="U126" s="115"/>
      <c r="V126" s="167"/>
      <c r="W126" s="168"/>
      <c r="X126" s="168"/>
      <c r="Y126" s="130"/>
      <c r="Z126" s="130"/>
      <c r="AA126" s="130"/>
      <c r="AB126" s="130"/>
      <c r="AC126" s="130"/>
      <c r="AD126" s="130"/>
    </row>
    <row r="127" spans="12:30" ht="14.25" customHeight="1" x14ac:dyDescent="0.2">
      <c r="L127" s="423"/>
      <c r="M127" s="98"/>
      <c r="N127" s="100"/>
      <c r="O127" s="115"/>
      <c r="P127" s="166"/>
      <c r="Q127" s="168"/>
      <c r="R127" s="424"/>
      <c r="S127" s="98"/>
      <c r="T127" s="100"/>
      <c r="U127" s="115"/>
      <c r="V127" s="167"/>
      <c r="W127" s="168"/>
      <c r="X127" s="168"/>
      <c r="Y127" s="130"/>
      <c r="Z127" s="130"/>
      <c r="AA127" s="130"/>
      <c r="AB127" s="130"/>
      <c r="AC127" s="130"/>
      <c r="AD127" s="130"/>
    </row>
    <row r="128" spans="12:30" ht="14.25" customHeight="1" x14ac:dyDescent="0.2">
      <c r="L128" s="423"/>
      <c r="M128" s="98"/>
      <c r="N128" s="100"/>
      <c r="O128" s="115"/>
      <c r="P128" s="166"/>
      <c r="Q128" s="173"/>
      <c r="R128" s="130"/>
      <c r="S128" s="98"/>
      <c r="T128" s="170"/>
      <c r="U128" s="115"/>
      <c r="V128" s="166"/>
      <c r="W128" s="168"/>
      <c r="X128" s="168"/>
      <c r="Y128" s="130"/>
      <c r="Z128" s="130"/>
      <c r="AA128" s="130"/>
      <c r="AB128" s="130"/>
      <c r="AC128" s="130"/>
      <c r="AD128" s="130"/>
    </row>
    <row r="129" spans="12:30" ht="13.8" x14ac:dyDescent="0.2">
      <c r="L129" s="423"/>
      <c r="M129" s="168"/>
      <c r="N129" s="168"/>
      <c r="O129" s="115"/>
      <c r="P129" s="166"/>
      <c r="Q129" s="175"/>
      <c r="R129" s="130"/>
      <c r="S129" s="168"/>
      <c r="T129" s="170"/>
      <c r="U129" s="172"/>
      <c r="V129" s="170"/>
      <c r="W129" s="173"/>
      <c r="X129" s="130"/>
      <c r="Y129" s="130"/>
      <c r="Z129" s="130"/>
      <c r="AA129" s="130"/>
      <c r="AB129" s="130"/>
      <c r="AC129" s="130"/>
      <c r="AD129" s="130"/>
    </row>
    <row r="130" spans="12:30" x14ac:dyDescent="0.2">
      <c r="L130" s="130"/>
      <c r="M130" s="171"/>
      <c r="N130" s="168"/>
      <c r="O130" s="172"/>
      <c r="P130" s="170"/>
      <c r="Q130" s="175"/>
      <c r="R130" s="130"/>
      <c r="S130" s="171"/>
      <c r="T130" s="130"/>
      <c r="U130" s="130"/>
      <c r="V130" s="130"/>
      <c r="W130" s="130"/>
      <c r="X130" s="130"/>
      <c r="Y130" s="130"/>
      <c r="Z130" s="130"/>
      <c r="AA130" s="130"/>
      <c r="AB130" s="130"/>
      <c r="AC130" s="130"/>
      <c r="AD130" s="130"/>
    </row>
    <row r="131" spans="12:30" x14ac:dyDescent="0.2">
      <c r="L131" s="130"/>
      <c r="M131" s="130"/>
      <c r="N131" s="130"/>
      <c r="O131" s="130"/>
      <c r="P131" s="130"/>
      <c r="Q131" s="175"/>
      <c r="R131" s="130"/>
      <c r="S131" s="130"/>
      <c r="T131" s="130"/>
      <c r="U131" s="130"/>
      <c r="V131" s="130"/>
      <c r="W131" s="130"/>
      <c r="X131" s="130"/>
      <c r="Y131" s="130"/>
      <c r="Z131" s="130"/>
      <c r="AA131" s="130"/>
      <c r="AB131" s="130"/>
      <c r="AC131" s="130"/>
      <c r="AD131" s="130"/>
    </row>
    <row r="132" spans="12:30" x14ac:dyDescent="0.2">
      <c r="L132" s="130"/>
      <c r="M132" s="130"/>
      <c r="N132" s="130"/>
      <c r="O132" s="130"/>
      <c r="P132" s="130"/>
      <c r="Q132" s="175"/>
      <c r="R132" s="130"/>
      <c r="S132" s="130"/>
      <c r="T132" s="130"/>
      <c r="U132" s="130"/>
      <c r="V132" s="130"/>
      <c r="W132" s="130"/>
      <c r="X132" s="130"/>
      <c r="Y132" s="130"/>
      <c r="Z132" s="130"/>
      <c r="AA132" s="130"/>
      <c r="AB132" s="130"/>
      <c r="AC132" s="130"/>
      <c r="AD132" s="130"/>
    </row>
    <row r="133" spans="12:30" x14ac:dyDescent="0.2">
      <c r="L133" s="130"/>
      <c r="M133" s="130"/>
      <c r="N133" s="130"/>
      <c r="O133" s="130"/>
      <c r="P133" s="130"/>
      <c r="Q133" s="175"/>
      <c r="R133" s="130"/>
      <c r="S133" s="130"/>
      <c r="T133" s="130"/>
      <c r="U133" s="130"/>
      <c r="V133" s="130"/>
      <c r="W133" s="130"/>
      <c r="X133" s="130"/>
      <c r="Y133" s="130"/>
      <c r="Z133" s="130"/>
      <c r="AA133" s="130"/>
      <c r="AB133" s="130"/>
      <c r="AC133" s="130"/>
      <c r="AD133" s="130"/>
    </row>
    <row r="134" spans="12:30" x14ac:dyDescent="0.2">
      <c r="L134" s="130"/>
      <c r="M134" s="130"/>
      <c r="N134" s="130"/>
      <c r="O134" s="130"/>
      <c r="P134" s="130"/>
      <c r="Q134" s="175"/>
      <c r="R134" s="130"/>
      <c r="S134" s="130"/>
      <c r="T134" s="130"/>
      <c r="U134" s="130"/>
      <c r="V134" s="130"/>
      <c r="W134" s="130"/>
      <c r="X134" s="130"/>
      <c r="Y134" s="130"/>
      <c r="Z134" s="130"/>
      <c r="AA134" s="130"/>
      <c r="AB134" s="130"/>
      <c r="AC134" s="130"/>
      <c r="AD134" s="130"/>
    </row>
    <row r="135" spans="12:30" x14ac:dyDescent="0.2">
      <c r="L135" s="130"/>
      <c r="M135" s="130"/>
      <c r="N135" s="130"/>
      <c r="O135" s="130"/>
      <c r="P135" s="130"/>
      <c r="Q135" s="175"/>
      <c r="R135" s="130"/>
      <c r="S135" s="130"/>
      <c r="T135" s="130"/>
      <c r="U135" s="130"/>
      <c r="V135" s="130"/>
      <c r="W135" s="130"/>
      <c r="X135" s="130"/>
      <c r="Y135" s="130"/>
      <c r="Z135" s="130"/>
      <c r="AA135" s="130"/>
      <c r="AB135" s="130"/>
      <c r="AC135" s="130"/>
      <c r="AD135" s="130"/>
    </row>
    <row r="136" spans="12:30" x14ac:dyDescent="0.2">
      <c r="L136" s="130"/>
      <c r="M136" s="130"/>
      <c r="N136" s="130"/>
      <c r="O136" s="130"/>
      <c r="P136" s="130"/>
      <c r="Q136" s="175"/>
      <c r="R136" s="130"/>
      <c r="S136" s="130"/>
      <c r="T136" s="130"/>
      <c r="U136" s="130"/>
      <c r="V136" s="130"/>
      <c r="W136" s="130"/>
      <c r="X136" s="130"/>
      <c r="Y136" s="130"/>
      <c r="Z136" s="130"/>
      <c r="AA136" s="130"/>
      <c r="AB136" s="130"/>
      <c r="AC136" s="130"/>
      <c r="AD136" s="130"/>
    </row>
    <row r="137" spans="12:30" x14ac:dyDescent="0.2">
      <c r="L137" s="130"/>
      <c r="M137" s="130"/>
      <c r="N137" s="130"/>
      <c r="O137" s="130"/>
      <c r="P137" s="130"/>
      <c r="S137" s="130"/>
      <c r="T137" s="130"/>
      <c r="U137" s="130"/>
      <c r="V137" s="130"/>
      <c r="W137" s="130"/>
      <c r="X137" s="130"/>
      <c r="Y137" s="130"/>
    </row>
    <row r="138" spans="12:30" x14ac:dyDescent="0.2">
      <c r="L138" s="130"/>
      <c r="M138" s="130"/>
      <c r="N138" s="130"/>
      <c r="O138" s="130"/>
      <c r="P138" s="130"/>
      <c r="S138" s="130"/>
    </row>
  </sheetData>
  <autoFilter ref="H18:H61" xr:uid="{00000000-0009-0000-0000-000000000000}"/>
  <mergeCells count="35">
    <mergeCell ref="B17:B18"/>
    <mergeCell ref="C17:C18"/>
    <mergeCell ref="D17:D18"/>
    <mergeCell ref="E17:E18"/>
    <mergeCell ref="C1:G1"/>
    <mergeCell ref="A2:C2"/>
    <mergeCell ref="A4:C4"/>
    <mergeCell ref="A5:C5"/>
    <mergeCell ref="A6:C6"/>
    <mergeCell ref="A7:C7"/>
    <mergeCell ref="A8:C8"/>
    <mergeCell ref="A10:F10"/>
    <mergeCell ref="A11:F11"/>
    <mergeCell ref="A15:G15"/>
    <mergeCell ref="A16:G16"/>
    <mergeCell ref="S79:Z79"/>
    <mergeCell ref="B75:C75"/>
    <mergeCell ref="B76:C76"/>
    <mergeCell ref="B79:C79"/>
    <mergeCell ref="A65:G65"/>
    <mergeCell ref="A66:G66"/>
    <mergeCell ref="A67:C67"/>
    <mergeCell ref="A70:G70"/>
    <mergeCell ref="A71:G71"/>
    <mergeCell ref="A72:G72"/>
    <mergeCell ref="L118:L129"/>
    <mergeCell ref="R116:R127"/>
    <mergeCell ref="A64:G64"/>
    <mergeCell ref="J79:Q79"/>
    <mergeCell ref="A59:F59"/>
    <mergeCell ref="B60:F60"/>
    <mergeCell ref="A61:F61"/>
    <mergeCell ref="B77:C77"/>
    <mergeCell ref="B78:C78"/>
    <mergeCell ref="B80:C80"/>
  </mergeCells>
  <hyperlinks>
    <hyperlink ref="B78" r:id="rId1" xr:uid="{9AD33120-D740-43A5-89CD-899B0BCA1111}"/>
  </hyperlinks>
  <pageMargins left="0.70866141732283505" right="0.23622047244094499" top="1.14173228346457" bottom="1.0629910323709499" header="0.19684930008748899" footer="0.15748031496063"/>
  <pageSetup paperSize="9" scale="85" orientation="portrait" r:id="rId2"/>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3"/>
  <legacyDrawing r:id="rId4"/>
  <legacyDrawingHF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4539-FF07-4C1F-803D-D607F23BCACA}">
  <sheetPr codeName="Foaie5">
    <tabColor theme="4" tint="0.59999389629810485"/>
  </sheetPr>
  <dimension ref="A1:P89"/>
  <sheetViews>
    <sheetView zoomScaleNormal="100" zoomScaleSheetLayoutView="100" workbookViewId="0">
      <selection activeCell="M4" sqref="M4"/>
    </sheetView>
  </sheetViews>
  <sheetFormatPr defaultColWidth="9.109375" defaultRowHeight="11.4" x14ac:dyDescent="0.2"/>
  <cols>
    <col min="1" max="1" width="5.6640625" style="6" customWidth="1"/>
    <col min="2" max="2" width="8.33203125" style="6" customWidth="1"/>
    <col min="3" max="3" width="62.6640625" style="6" customWidth="1"/>
    <col min="4" max="4" width="5.88671875" style="6" customWidth="1"/>
    <col min="5" max="5" width="6" style="6" customWidth="1"/>
    <col min="6" max="7" width="10.5546875" style="6" customWidth="1"/>
    <col min="8" max="8" width="4.88671875" style="6" customWidth="1"/>
    <col min="9" max="9" width="8.44140625" style="6" customWidth="1"/>
    <col min="10" max="10" width="11.5546875" style="6" customWidth="1"/>
    <col min="11" max="11" width="9.109375" style="6" customWidth="1"/>
    <col min="12" max="13" width="12.5546875" style="6" customWidth="1"/>
    <col min="14" max="14" width="9" style="6" customWidth="1"/>
    <col min="15" max="15" width="11.44140625" style="6" customWidth="1"/>
    <col min="16" max="16" width="12.44140625" style="6" customWidth="1"/>
    <col min="17" max="16384" width="9.109375" style="6"/>
  </cols>
  <sheetData>
    <row r="1" spans="1:16" ht="132.44999999999999" customHeight="1" x14ac:dyDescent="0.2">
      <c r="C1" s="405" t="s">
        <v>383</v>
      </c>
      <c r="D1" s="405"/>
      <c r="E1" s="405"/>
      <c r="F1" s="405"/>
      <c r="G1" s="405"/>
      <c r="H1" s="10"/>
      <c r="I1" s="10"/>
      <c r="J1" s="10"/>
    </row>
    <row r="2" spans="1:16" ht="14.4" x14ac:dyDescent="0.3">
      <c r="A2" s="408" t="s">
        <v>420</v>
      </c>
      <c r="B2" s="409"/>
      <c r="C2" s="409"/>
    </row>
    <row r="3" spans="1:16" x14ac:dyDescent="0.2">
      <c r="A3" s="2"/>
    </row>
    <row r="4" spans="1:16" ht="14.4" x14ac:dyDescent="0.3">
      <c r="A4" s="419" t="s">
        <v>114</v>
      </c>
      <c r="B4" s="409"/>
      <c r="C4" s="409"/>
    </row>
    <row r="5" spans="1:16" ht="14.4" x14ac:dyDescent="0.3">
      <c r="A5" s="419" t="s">
        <v>132</v>
      </c>
      <c r="B5" s="409"/>
      <c r="C5" s="409"/>
    </row>
    <row r="6" spans="1:16" ht="14.4" x14ac:dyDescent="0.3">
      <c r="A6" s="419" t="s">
        <v>15</v>
      </c>
      <c r="B6" s="409"/>
      <c r="C6" s="409"/>
    </row>
    <row r="7" spans="1:16" ht="14.4" x14ac:dyDescent="0.3">
      <c r="A7" s="420" t="s">
        <v>13</v>
      </c>
      <c r="B7" s="421"/>
      <c r="C7" s="421"/>
    </row>
    <row r="8" spans="1:16" ht="14.4" x14ac:dyDescent="0.3">
      <c r="A8" s="419" t="s">
        <v>147</v>
      </c>
      <c r="B8" s="409"/>
      <c r="C8" s="409"/>
    </row>
    <row r="10" spans="1:16" ht="29.25" customHeight="1" thickBot="1" x14ac:dyDescent="0.25">
      <c r="A10" s="406" t="s">
        <v>0</v>
      </c>
      <c r="B10" s="406"/>
      <c r="C10" s="406"/>
      <c r="D10" s="406"/>
      <c r="E10" s="406"/>
      <c r="F10" s="406"/>
      <c r="G10" s="12" t="s">
        <v>186</v>
      </c>
      <c r="H10" s="4"/>
      <c r="I10" s="5"/>
      <c r="J10" s="5"/>
      <c r="K10" s="5"/>
      <c r="L10" s="5"/>
      <c r="M10" s="5"/>
      <c r="N10" s="5"/>
    </row>
    <row r="11" spans="1:16" ht="31.5" customHeight="1" thickTop="1" thickBot="1" x14ac:dyDescent="0.25">
      <c r="A11" s="406" t="s">
        <v>65</v>
      </c>
      <c r="B11" s="406"/>
      <c r="C11" s="406"/>
      <c r="D11" s="406"/>
      <c r="E11" s="406"/>
      <c r="F11" s="406"/>
      <c r="G11" s="128">
        <f>K86</f>
        <v>0</v>
      </c>
      <c r="H11" s="4"/>
      <c r="I11" s="5"/>
      <c r="J11" s="5"/>
      <c r="K11" s="5"/>
      <c r="L11" s="5"/>
      <c r="M11" s="5"/>
      <c r="N11" s="5"/>
    </row>
    <row r="12" spans="1:16" ht="39" customHeight="1" thickTop="1" x14ac:dyDescent="0.2">
      <c r="A12" s="101"/>
      <c r="B12" s="101"/>
      <c r="C12" s="101"/>
      <c r="D12" s="101"/>
      <c r="E12" s="101"/>
      <c r="F12" s="101"/>
      <c r="G12" s="11"/>
      <c r="H12" s="4"/>
      <c r="I12" s="5"/>
      <c r="J12" s="5"/>
      <c r="K12" s="5"/>
      <c r="L12" s="5"/>
      <c r="M12" s="5"/>
      <c r="N12" s="5"/>
    </row>
    <row r="13" spans="1:16" ht="39" customHeight="1" x14ac:dyDescent="0.2">
      <c r="A13" s="4"/>
      <c r="B13" s="4"/>
      <c r="C13" s="4"/>
      <c r="D13" s="4"/>
      <c r="E13" s="4"/>
      <c r="F13" s="4"/>
      <c r="G13" s="4"/>
      <c r="H13" s="4"/>
      <c r="I13" s="5"/>
      <c r="J13" s="5"/>
      <c r="K13" s="5"/>
      <c r="L13" s="5"/>
      <c r="M13" s="5"/>
      <c r="N13" s="5"/>
    </row>
    <row r="14" spans="1:16" ht="39" customHeight="1" x14ac:dyDescent="0.2">
      <c r="A14" s="4"/>
      <c r="B14" s="4"/>
      <c r="C14" s="4"/>
      <c r="D14" s="4"/>
      <c r="E14" s="4"/>
      <c r="F14" s="217"/>
      <c r="G14" s="4"/>
      <c r="H14" s="4"/>
      <c r="I14" s="129" t="s">
        <v>377</v>
      </c>
      <c r="J14" s="217" t="s">
        <v>220</v>
      </c>
      <c r="K14" s="5"/>
      <c r="L14" s="12" t="s">
        <v>101</v>
      </c>
      <c r="M14" s="129"/>
      <c r="N14" s="12" t="s">
        <v>329</v>
      </c>
      <c r="O14" s="56"/>
      <c r="P14" s="97" t="s">
        <v>100</v>
      </c>
    </row>
    <row r="15" spans="1:16" ht="16.5" customHeight="1" x14ac:dyDescent="0.2">
      <c r="A15" s="4"/>
      <c r="B15" s="4"/>
      <c r="C15" s="4"/>
      <c r="D15" s="4"/>
      <c r="E15" s="217"/>
      <c r="F15" s="217" t="s">
        <v>331</v>
      </c>
      <c r="G15" s="12"/>
      <c r="H15" s="4"/>
      <c r="I15" s="5"/>
      <c r="J15" s="5"/>
      <c r="K15" s="5"/>
      <c r="L15" s="5"/>
      <c r="M15" s="5"/>
      <c r="N15" s="5"/>
    </row>
    <row r="16" spans="1:16" ht="21" x14ac:dyDescent="0.4">
      <c r="A16" s="398" t="s">
        <v>60</v>
      </c>
      <c r="B16" s="399"/>
      <c r="C16" s="399"/>
      <c r="D16" s="399"/>
      <c r="E16" s="399"/>
      <c r="F16" s="399"/>
      <c r="G16" s="399"/>
      <c r="H16" s="4"/>
      <c r="I16" s="5"/>
      <c r="J16" s="5"/>
      <c r="K16" s="5"/>
      <c r="L16" s="5"/>
      <c r="M16" s="5"/>
      <c r="N16" s="5"/>
    </row>
    <row r="17" spans="1:14" ht="12.75" customHeight="1" thickBot="1" x14ac:dyDescent="0.45">
      <c r="A17" s="410"/>
      <c r="B17" s="411"/>
      <c r="C17" s="411"/>
      <c r="D17" s="411"/>
      <c r="E17" s="411"/>
      <c r="F17" s="411"/>
      <c r="G17" s="411"/>
      <c r="H17" s="5"/>
      <c r="I17" s="5"/>
      <c r="J17" s="5"/>
      <c r="K17" s="5"/>
      <c r="L17" s="5"/>
      <c r="M17" s="5"/>
      <c r="N17" s="5"/>
    </row>
    <row r="18" spans="1:14" ht="23.25" customHeight="1" thickTop="1" thickBot="1" x14ac:dyDescent="0.25">
      <c r="A18" s="32" t="s">
        <v>1</v>
      </c>
      <c r="B18" s="407" t="s">
        <v>3</v>
      </c>
      <c r="C18" s="407" t="s">
        <v>4</v>
      </c>
      <c r="D18" s="407" t="s">
        <v>5</v>
      </c>
      <c r="E18" s="407" t="s">
        <v>6</v>
      </c>
      <c r="F18" s="32" t="s">
        <v>7</v>
      </c>
      <c r="G18" s="32" t="s">
        <v>9</v>
      </c>
      <c r="H18" s="5"/>
      <c r="I18" s="5"/>
      <c r="J18" s="5"/>
      <c r="K18" s="5"/>
      <c r="L18" s="5"/>
      <c r="M18" s="5"/>
      <c r="N18" s="5"/>
    </row>
    <row r="19" spans="1:14" ht="30" customHeight="1" thickTop="1" thickBot="1" x14ac:dyDescent="0.25">
      <c r="A19" s="32" t="s">
        <v>2</v>
      </c>
      <c r="B19" s="407"/>
      <c r="C19" s="407"/>
      <c r="D19" s="407"/>
      <c r="E19" s="407"/>
      <c r="F19" s="32" t="s">
        <v>8</v>
      </c>
      <c r="G19" s="32" t="s">
        <v>8</v>
      </c>
      <c r="H19" s="281"/>
      <c r="I19" s="5"/>
      <c r="J19" s="5"/>
      <c r="K19" s="5"/>
      <c r="L19" s="5"/>
      <c r="M19" s="5"/>
      <c r="N19" s="5"/>
    </row>
    <row r="20" spans="1:14" ht="20.100000000000001" customHeight="1" thickTop="1" thickBot="1" x14ac:dyDescent="0.25">
      <c r="A20" s="159" t="s">
        <v>347</v>
      </c>
      <c r="B20" s="291"/>
      <c r="C20" s="291"/>
      <c r="D20" s="291"/>
      <c r="E20" s="291"/>
      <c r="F20" s="182">
        <f>K86</f>
        <v>0</v>
      </c>
      <c r="G20" s="57"/>
      <c r="H20" s="48">
        <f>H21</f>
        <v>0</v>
      </c>
      <c r="I20" s="5"/>
      <c r="J20" s="5"/>
      <c r="K20" s="5"/>
      <c r="L20" s="5"/>
      <c r="M20" s="5"/>
      <c r="N20" s="5"/>
    </row>
    <row r="21" spans="1:14" ht="18" customHeight="1" thickTop="1" thickBot="1" x14ac:dyDescent="0.25">
      <c r="A21" s="22"/>
      <c r="B21" s="44">
        <v>360120</v>
      </c>
      <c r="C21" s="45" t="s">
        <v>342</v>
      </c>
      <c r="D21" s="46" t="s">
        <v>150</v>
      </c>
      <c r="E21" s="323">
        <f>L86</f>
        <v>0</v>
      </c>
      <c r="F21" s="350">
        <v>15</v>
      </c>
      <c r="G21" s="153">
        <f t="shared" ref="G21:G25" si="0">E21*F21</f>
        <v>0</v>
      </c>
      <c r="H21" s="48">
        <f t="shared" ref="H21" si="1">E21</f>
        <v>0</v>
      </c>
      <c r="I21" s="5"/>
      <c r="J21" s="5"/>
      <c r="K21" s="5"/>
      <c r="L21" s="5"/>
      <c r="M21" s="5"/>
      <c r="N21" s="5"/>
    </row>
    <row r="22" spans="1:14" ht="18" customHeight="1" thickTop="1" thickBot="1" x14ac:dyDescent="0.35">
      <c r="A22" s="159" t="s">
        <v>389</v>
      </c>
      <c r="B22" s="325"/>
      <c r="C22" s="325"/>
      <c r="D22" s="325"/>
      <c r="E22" s="185"/>
      <c r="F22" s="182">
        <f>K86</f>
        <v>0</v>
      </c>
      <c r="G22" s="186" t="s">
        <v>129</v>
      </c>
      <c r="H22" s="48">
        <f>SUM(H23:H25)</f>
        <v>0</v>
      </c>
      <c r="I22" s="5"/>
      <c r="J22" s="5"/>
      <c r="K22" s="5"/>
      <c r="L22" s="5"/>
      <c r="M22" s="5"/>
      <c r="N22" s="5"/>
    </row>
    <row r="23" spans="1:14" ht="18" customHeight="1" thickTop="1" thickBot="1" x14ac:dyDescent="0.25">
      <c r="A23" s="22"/>
      <c r="B23" s="44">
        <v>360140</v>
      </c>
      <c r="C23" s="45" t="s">
        <v>343</v>
      </c>
      <c r="D23" s="46" t="s">
        <v>150</v>
      </c>
      <c r="E23" s="323">
        <f>M86</f>
        <v>0</v>
      </c>
      <c r="F23" s="350">
        <v>15</v>
      </c>
      <c r="G23" s="153">
        <f t="shared" si="0"/>
        <v>0</v>
      </c>
      <c r="H23" s="48">
        <f t="shared" ref="H23:H25" si="2">E23</f>
        <v>0</v>
      </c>
      <c r="I23" s="5"/>
      <c r="J23" s="5"/>
      <c r="K23" s="5"/>
      <c r="L23" s="5"/>
      <c r="M23" s="5"/>
      <c r="N23" s="5"/>
    </row>
    <row r="24" spans="1:14" ht="18" customHeight="1" thickTop="1" thickBot="1" x14ac:dyDescent="0.25">
      <c r="A24" s="22"/>
      <c r="B24" s="44">
        <v>720815</v>
      </c>
      <c r="C24" s="45" t="s">
        <v>341</v>
      </c>
      <c r="D24" s="46" t="s">
        <v>57</v>
      </c>
      <c r="E24" s="46">
        <f>IF(E21&lt;&gt;"", E21/10, IF(E23&lt;&gt;"", E23/10, ""))</f>
        <v>0</v>
      </c>
      <c r="F24" s="350">
        <v>32</v>
      </c>
      <c r="G24" s="153">
        <f t="shared" si="0"/>
        <v>0</v>
      </c>
      <c r="H24" s="48">
        <f t="shared" si="2"/>
        <v>0</v>
      </c>
      <c r="I24" s="5"/>
      <c r="J24" s="5"/>
      <c r="K24" s="5"/>
      <c r="L24" s="5"/>
      <c r="M24" s="5"/>
      <c r="N24" s="5"/>
    </row>
    <row r="25" spans="1:14" ht="18" customHeight="1" thickTop="1" thickBot="1" x14ac:dyDescent="0.25">
      <c r="A25" s="22"/>
      <c r="B25" s="44">
        <v>720810</v>
      </c>
      <c r="C25" s="45" t="s">
        <v>388</v>
      </c>
      <c r="D25" s="46" t="s">
        <v>10</v>
      </c>
      <c r="E25" s="46">
        <f>IF(E24=0, 0, 1)</f>
        <v>0</v>
      </c>
      <c r="F25" s="350">
        <v>16</v>
      </c>
      <c r="G25" s="153">
        <f t="shared" si="0"/>
        <v>0</v>
      </c>
      <c r="H25" s="48">
        <f t="shared" si="2"/>
        <v>0</v>
      </c>
      <c r="I25" s="5"/>
      <c r="J25" s="5"/>
      <c r="K25" s="5"/>
      <c r="L25" s="5"/>
      <c r="M25" s="5"/>
      <c r="N25" s="5"/>
    </row>
    <row r="26" spans="1:14" ht="20.100000000000001" customHeight="1" thickTop="1" thickBot="1" x14ac:dyDescent="0.25">
      <c r="A26" s="403" t="s">
        <v>138</v>
      </c>
      <c r="B26" s="439"/>
      <c r="C26" s="439"/>
      <c r="D26" s="439"/>
      <c r="E26" s="439"/>
      <c r="F26" s="439"/>
      <c r="G26" s="13"/>
      <c r="H26" s="48">
        <f>SUM(H27:H35)</f>
        <v>0</v>
      </c>
      <c r="K26" s="5"/>
    </row>
    <row r="27" spans="1:14" ht="30" customHeight="1" thickTop="1" thickBot="1" x14ac:dyDescent="0.25">
      <c r="A27" s="22"/>
      <c r="B27" s="22">
        <v>825400</v>
      </c>
      <c r="C27" s="66" t="s">
        <v>376</v>
      </c>
      <c r="D27" s="22" t="s">
        <v>10</v>
      </c>
      <c r="E27" s="204">
        <f>N86</f>
        <v>0</v>
      </c>
      <c r="F27" s="352">
        <v>102</v>
      </c>
      <c r="G27" s="153">
        <f t="shared" ref="G27:G33" si="3">E27*F27</f>
        <v>0</v>
      </c>
      <c r="H27" s="283">
        <f>E27</f>
        <v>0</v>
      </c>
      <c r="K27" s="5"/>
      <c r="M27" s="310"/>
    </row>
    <row r="28" spans="1:14" ht="30" customHeight="1" thickTop="1" thickBot="1" x14ac:dyDescent="0.25">
      <c r="A28" s="22"/>
      <c r="B28" s="22">
        <v>825880</v>
      </c>
      <c r="C28" s="66" t="s">
        <v>103</v>
      </c>
      <c r="D28" s="22" t="s">
        <v>10</v>
      </c>
      <c r="E28" s="204">
        <f>N86</f>
        <v>0</v>
      </c>
      <c r="F28" s="352">
        <v>92</v>
      </c>
      <c r="G28" s="153">
        <f t="shared" si="3"/>
        <v>0</v>
      </c>
      <c r="H28" s="283">
        <f t="shared" ref="H28:H35" si="4">E28</f>
        <v>0</v>
      </c>
      <c r="K28" s="5"/>
      <c r="M28" s="190"/>
    </row>
    <row r="29" spans="1:14" ht="30" customHeight="1" thickTop="1" thickBot="1" x14ac:dyDescent="0.25">
      <c r="A29" s="22"/>
      <c r="B29" s="22">
        <v>825870</v>
      </c>
      <c r="C29" s="66" t="s">
        <v>366</v>
      </c>
      <c r="D29" s="22" t="s">
        <v>10</v>
      </c>
      <c r="E29" s="204">
        <f>N86</f>
        <v>0</v>
      </c>
      <c r="F29" s="352">
        <v>84</v>
      </c>
      <c r="G29" s="153">
        <f t="shared" si="3"/>
        <v>0</v>
      </c>
      <c r="H29" s="283">
        <f t="shared" si="4"/>
        <v>0</v>
      </c>
      <c r="K29" s="5"/>
      <c r="M29" s="190"/>
    </row>
    <row r="30" spans="1:14" ht="28.5" customHeight="1" thickTop="1" thickBot="1" x14ac:dyDescent="0.25">
      <c r="A30" s="22"/>
      <c r="B30" s="26">
        <v>825840</v>
      </c>
      <c r="C30" s="29" t="s">
        <v>327</v>
      </c>
      <c r="D30" s="30" t="s">
        <v>10</v>
      </c>
      <c r="E30" s="322">
        <f>N86</f>
        <v>0</v>
      </c>
      <c r="F30" s="352">
        <v>45</v>
      </c>
      <c r="G30" s="88">
        <f t="shared" si="3"/>
        <v>0</v>
      </c>
      <c r="H30" s="283">
        <f t="shared" si="4"/>
        <v>0</v>
      </c>
      <c r="K30" s="5"/>
    </row>
    <row r="31" spans="1:14" ht="29.25" customHeight="1" thickTop="1" thickBot="1" x14ac:dyDescent="0.25">
      <c r="A31" s="22"/>
      <c r="B31" s="26">
        <v>827000</v>
      </c>
      <c r="C31" s="27" t="s">
        <v>365</v>
      </c>
      <c r="D31" s="28" t="s">
        <v>10</v>
      </c>
      <c r="E31" s="322">
        <f>N86</f>
        <v>0</v>
      </c>
      <c r="F31" s="352">
        <v>25</v>
      </c>
      <c r="G31" s="88">
        <f t="shared" si="3"/>
        <v>0</v>
      </c>
      <c r="H31" s="283">
        <f t="shared" si="4"/>
        <v>0</v>
      </c>
      <c r="K31" s="5"/>
    </row>
    <row r="32" spans="1:14" ht="27.75" customHeight="1" thickTop="1" thickBot="1" x14ac:dyDescent="0.25">
      <c r="A32" s="22"/>
      <c r="B32" s="26">
        <v>838101</v>
      </c>
      <c r="C32" s="29" t="s">
        <v>59</v>
      </c>
      <c r="D32" s="30" t="s">
        <v>10</v>
      </c>
      <c r="E32" s="322">
        <f>N86</f>
        <v>0</v>
      </c>
      <c r="F32" s="352">
        <v>26</v>
      </c>
      <c r="G32" s="88">
        <f t="shared" si="3"/>
        <v>0</v>
      </c>
      <c r="H32" s="283">
        <f t="shared" si="4"/>
        <v>0</v>
      </c>
      <c r="K32" s="5"/>
    </row>
    <row r="33" spans="1:11" ht="16.5" customHeight="1" thickTop="1" thickBot="1" x14ac:dyDescent="0.25">
      <c r="A33" s="22"/>
      <c r="B33" s="26">
        <v>860199</v>
      </c>
      <c r="C33" s="29" t="s">
        <v>328</v>
      </c>
      <c r="D33" s="30" t="s">
        <v>10</v>
      </c>
      <c r="E33" s="322"/>
      <c r="F33" s="352">
        <v>13</v>
      </c>
      <c r="G33" s="153">
        <f t="shared" si="3"/>
        <v>0</v>
      </c>
      <c r="H33" s="283">
        <f t="shared" si="4"/>
        <v>0</v>
      </c>
      <c r="K33" s="5"/>
    </row>
    <row r="34" spans="1:11" ht="18" customHeight="1" thickTop="1" thickBot="1" x14ac:dyDescent="0.25">
      <c r="A34" s="22"/>
      <c r="B34" s="41">
        <v>720807</v>
      </c>
      <c r="C34" s="47" t="s">
        <v>419</v>
      </c>
      <c r="D34" s="40" t="s">
        <v>57</v>
      </c>
      <c r="E34" s="104">
        <f>CEILING(K86*1.1/12,1)</f>
        <v>0</v>
      </c>
      <c r="F34" s="352">
        <v>7.2</v>
      </c>
      <c r="G34" s="153">
        <f t="shared" ref="G34:G35" si="5">E34*F34</f>
        <v>0</v>
      </c>
      <c r="H34" s="283">
        <f t="shared" si="4"/>
        <v>0</v>
      </c>
      <c r="K34" s="5"/>
    </row>
    <row r="35" spans="1:11" ht="18" customHeight="1" thickTop="1" thickBot="1" x14ac:dyDescent="0.25">
      <c r="A35" s="22"/>
      <c r="B35" s="41">
        <v>730300</v>
      </c>
      <c r="C35" s="42" t="s">
        <v>105</v>
      </c>
      <c r="D35" s="43" t="s">
        <v>57</v>
      </c>
      <c r="E35" s="40">
        <f>(ROUNDUP(K86*1.05/6,0))</f>
        <v>0</v>
      </c>
      <c r="F35" s="352">
        <v>28</v>
      </c>
      <c r="G35" s="153">
        <f t="shared" si="5"/>
        <v>0</v>
      </c>
      <c r="H35" s="283">
        <f t="shared" si="4"/>
        <v>0</v>
      </c>
      <c r="K35" s="5"/>
    </row>
    <row r="36" spans="1:11" ht="18" customHeight="1" thickTop="1" thickBot="1" x14ac:dyDescent="0.25">
      <c r="A36" s="390" t="s">
        <v>16</v>
      </c>
      <c r="B36" s="391"/>
      <c r="C36" s="391"/>
      <c r="D36" s="391"/>
      <c r="E36" s="391"/>
      <c r="F36" s="391"/>
      <c r="G36" s="88">
        <f>SUM(G21:G35)</f>
        <v>0</v>
      </c>
      <c r="H36" s="56" t="s">
        <v>66</v>
      </c>
    </row>
    <row r="37" spans="1:11" ht="18" customHeight="1" thickTop="1" thickBot="1" x14ac:dyDescent="0.25">
      <c r="A37" s="69">
        <v>0.05</v>
      </c>
      <c r="B37" s="391" t="s">
        <v>67</v>
      </c>
      <c r="C37" s="391"/>
      <c r="D37" s="391"/>
      <c r="E37" s="391"/>
      <c r="F37" s="391"/>
      <c r="G37" s="89">
        <f>G36*(1-A37)</f>
        <v>0</v>
      </c>
      <c r="H37" s="56" t="s">
        <v>66</v>
      </c>
    </row>
    <row r="38" spans="1:11" ht="19.5" customHeight="1" thickTop="1" thickBot="1" x14ac:dyDescent="0.25">
      <c r="A38" s="53" t="s">
        <v>17</v>
      </c>
      <c r="B38" s="54"/>
      <c r="C38" s="54"/>
      <c r="D38" s="54"/>
      <c r="E38" s="54"/>
      <c r="F38" s="54"/>
      <c r="G38" s="89">
        <f>G37*1.21</f>
        <v>0</v>
      </c>
      <c r="H38" s="56" t="s">
        <v>66</v>
      </c>
    </row>
    <row r="39" spans="1:11" ht="15.75" customHeight="1" thickTop="1" x14ac:dyDescent="0.2"/>
    <row r="40" spans="1:11" x14ac:dyDescent="0.2">
      <c r="A40" s="436"/>
      <c r="B40" s="436"/>
      <c r="C40" s="436"/>
      <c r="D40" s="436"/>
      <c r="E40" s="436"/>
      <c r="F40" s="436"/>
      <c r="G40" s="436"/>
    </row>
    <row r="42" spans="1:11" ht="19.5" customHeight="1" x14ac:dyDescent="0.2"/>
    <row r="43" spans="1:11" ht="29.25" customHeight="1" x14ac:dyDescent="0.2">
      <c r="A43" s="389" t="s">
        <v>18</v>
      </c>
      <c r="B43" s="389"/>
      <c r="C43" s="389"/>
      <c r="D43" s="389"/>
      <c r="E43" s="389"/>
      <c r="F43" s="389"/>
      <c r="G43" s="389"/>
    </row>
    <row r="44" spans="1:11" ht="27" customHeight="1" x14ac:dyDescent="0.2">
      <c r="A44" s="404" t="s">
        <v>61</v>
      </c>
      <c r="B44" s="404"/>
      <c r="C44" s="404"/>
      <c r="D44" s="404"/>
      <c r="E44" s="404"/>
      <c r="F44" s="404"/>
      <c r="G44" s="404"/>
    </row>
    <row r="45" spans="1:11" ht="17.25" customHeight="1" x14ac:dyDescent="0.2">
      <c r="A45" s="404" t="s">
        <v>337</v>
      </c>
      <c r="B45" s="404"/>
      <c r="C45" s="404"/>
      <c r="D45" s="404"/>
      <c r="E45" s="404"/>
      <c r="F45" s="404"/>
      <c r="G45" s="404"/>
    </row>
    <row r="46" spans="1:11" ht="24.75" customHeight="1" x14ac:dyDescent="0.3">
      <c r="A46" s="406" t="s">
        <v>371</v>
      </c>
      <c r="B46" s="406"/>
      <c r="C46" s="406"/>
      <c r="D46" s="324">
        <f>IF(E21&lt;&gt;"", E21*120/1000, IF(E23&lt;&gt;"", E23*140/1000, ""))</f>
        <v>0</v>
      </c>
      <c r="E46" s="49"/>
      <c r="F46" s="49"/>
      <c r="G46" s="49"/>
    </row>
    <row r="47" spans="1:11" ht="14.25" customHeight="1" x14ac:dyDescent="0.3">
      <c r="A47" s="101"/>
      <c r="B47" s="49"/>
      <c r="C47" s="49"/>
      <c r="D47" s="49"/>
      <c r="E47" s="49"/>
      <c r="F47" s="49"/>
      <c r="G47" s="49"/>
    </row>
    <row r="48" spans="1:11" ht="14.25" customHeight="1" x14ac:dyDescent="0.2">
      <c r="A48" s="9" t="s">
        <v>19</v>
      </c>
      <c r="B48" s="4"/>
      <c r="C48" s="4"/>
      <c r="D48" s="4"/>
      <c r="E48" s="4"/>
      <c r="F48" s="4"/>
      <c r="G48" s="4"/>
    </row>
    <row r="49" spans="1:16" ht="14.25" customHeight="1" x14ac:dyDescent="0.2">
      <c r="A49" s="389" t="s">
        <v>20</v>
      </c>
      <c r="B49" s="389"/>
      <c r="C49" s="389"/>
      <c r="D49" s="389"/>
      <c r="E49" s="389"/>
      <c r="F49" s="389"/>
      <c r="G49" s="389"/>
    </row>
    <row r="50" spans="1:16" ht="14.25" customHeight="1" x14ac:dyDescent="0.2">
      <c r="A50" s="389" t="s">
        <v>21</v>
      </c>
      <c r="B50" s="389"/>
      <c r="C50" s="389"/>
      <c r="D50" s="389"/>
      <c r="E50" s="389"/>
      <c r="F50" s="389"/>
      <c r="G50" s="389"/>
    </row>
    <row r="51" spans="1:16" ht="14.25" customHeight="1" x14ac:dyDescent="0.2">
      <c r="A51" s="389" t="s">
        <v>109</v>
      </c>
      <c r="B51" s="389"/>
      <c r="C51" s="389"/>
      <c r="D51" s="389"/>
      <c r="E51" s="389"/>
      <c r="F51" s="389"/>
      <c r="G51" s="389"/>
    </row>
    <row r="52" spans="1:16" ht="14.25" customHeight="1" x14ac:dyDescent="0.2"/>
    <row r="53" spans="1:16" ht="14.25" customHeight="1" x14ac:dyDescent="0.2">
      <c r="B53" s="1" t="s">
        <v>11</v>
      </c>
      <c r="C53" s="2"/>
    </row>
    <row r="54" spans="1:16" ht="14.25" customHeight="1" x14ac:dyDescent="0.2">
      <c r="B54" s="373"/>
      <c r="C54" s="373"/>
    </row>
    <row r="55" spans="1:16" ht="12.75" customHeight="1" x14ac:dyDescent="0.2">
      <c r="B55" s="373"/>
      <c r="C55" s="373"/>
    </row>
    <row r="56" spans="1:16" x14ac:dyDescent="0.2">
      <c r="B56" s="418"/>
      <c r="C56" s="418"/>
    </row>
    <row r="57" spans="1:16" ht="15.75" customHeight="1" thickBot="1" x14ac:dyDescent="0.25">
      <c r="B57" s="7" t="s">
        <v>12</v>
      </c>
      <c r="J57" s="437" t="s">
        <v>184</v>
      </c>
      <c r="K57" s="438"/>
      <c r="L57" s="438"/>
      <c r="M57" s="438"/>
      <c r="N57" s="438"/>
    </row>
    <row r="58" spans="1:16" ht="45" customHeight="1" thickTop="1" thickBot="1" x14ac:dyDescent="0.25">
      <c r="B58" s="7"/>
      <c r="J58" s="62" t="s">
        <v>71</v>
      </c>
      <c r="K58" s="62" t="s">
        <v>148</v>
      </c>
      <c r="L58" s="62" t="s">
        <v>339</v>
      </c>
      <c r="M58" s="62" t="s">
        <v>340</v>
      </c>
      <c r="N58" s="70" t="s">
        <v>107</v>
      </c>
      <c r="O58" s="56" t="s">
        <v>390</v>
      </c>
      <c r="P58" s="56" t="s">
        <v>390</v>
      </c>
    </row>
    <row r="59" spans="1:16" ht="15.9" customHeight="1" thickTop="1" thickBot="1" x14ac:dyDescent="0.25">
      <c r="I59" s="65"/>
      <c r="J59" s="138" t="s">
        <v>125</v>
      </c>
      <c r="K59" s="122"/>
      <c r="L59" s="158" t="str">
        <f>IF(FLOOR(K59 * 0.97,1)=0,"",FLOOR(K59 * 0.96,1))</f>
        <v/>
      </c>
      <c r="M59" s="158" t="str">
        <f>IF(FLOOR(K59 * 0.93,1)=0,"",FLOOR(K59 * 0.93,1))</f>
        <v/>
      </c>
      <c r="N59" s="63" t="str">
        <f>IF(ISNUMBER(L59),1,"")</f>
        <v/>
      </c>
      <c r="O59" s="321" t="e">
        <f>L59*120/K59</f>
        <v>#VALUE!</v>
      </c>
      <c r="P59" s="321" t="e">
        <f>M59*140/K59</f>
        <v>#VALUE!</v>
      </c>
    </row>
    <row r="60" spans="1:16" ht="15.9" customHeight="1" thickTop="1" thickBot="1" x14ac:dyDescent="0.25">
      <c r="I60" s="112"/>
      <c r="J60" s="138" t="s">
        <v>81</v>
      </c>
      <c r="K60" s="122"/>
      <c r="L60" s="158" t="str">
        <f t="shared" ref="L60:L85" si="6">IF(FLOOR(K60 * 0.96,1)=0,"",FLOOR(K60 * 0.96,1))</f>
        <v/>
      </c>
      <c r="M60" s="158" t="str">
        <f t="shared" ref="M60:M85" si="7">IF(FLOOR(K60 * 0.93,1)=0,"",FLOOR(K60 * 0.93,1))</f>
        <v/>
      </c>
      <c r="N60" s="63" t="str">
        <f t="shared" ref="N60:N71" si="8">IF(ISNUMBER(L60),1,"")</f>
        <v/>
      </c>
      <c r="O60" s="321" t="e">
        <f t="shared" ref="O60:O85" si="9">L60*120/K60</f>
        <v>#VALUE!</v>
      </c>
      <c r="P60" s="321" t="e">
        <f t="shared" ref="P60:P85" si="10">M60*140/K60</f>
        <v>#VALUE!</v>
      </c>
    </row>
    <row r="61" spans="1:16" ht="15.9" customHeight="1" thickTop="1" thickBot="1" x14ac:dyDescent="0.25">
      <c r="I61" s="112"/>
      <c r="J61" s="138" t="s">
        <v>82</v>
      </c>
      <c r="K61" s="122"/>
      <c r="L61" s="158" t="str">
        <f t="shared" si="6"/>
        <v/>
      </c>
      <c r="M61" s="158" t="str">
        <f t="shared" si="7"/>
        <v/>
      </c>
      <c r="N61" s="63" t="str">
        <f t="shared" si="8"/>
        <v/>
      </c>
      <c r="O61" s="321" t="e">
        <f t="shared" si="9"/>
        <v>#VALUE!</v>
      </c>
      <c r="P61" s="321" t="e">
        <f t="shared" si="10"/>
        <v>#VALUE!</v>
      </c>
    </row>
    <row r="62" spans="1:16" ht="15.9" customHeight="1" thickTop="1" thickBot="1" x14ac:dyDescent="0.25">
      <c r="I62" s="112"/>
      <c r="J62" s="138" t="s">
        <v>83</v>
      </c>
      <c r="K62" s="122"/>
      <c r="L62" s="158" t="str">
        <f t="shared" si="6"/>
        <v/>
      </c>
      <c r="M62" s="158" t="str">
        <f t="shared" si="7"/>
        <v/>
      </c>
      <c r="N62" s="63" t="str">
        <f t="shared" si="8"/>
        <v/>
      </c>
      <c r="O62" s="321" t="e">
        <f t="shared" si="9"/>
        <v>#VALUE!</v>
      </c>
      <c r="P62" s="321" t="e">
        <f t="shared" si="10"/>
        <v>#VALUE!</v>
      </c>
    </row>
    <row r="63" spans="1:16" ht="15.9" customHeight="1" thickTop="1" thickBot="1" x14ac:dyDescent="0.25">
      <c r="I63" s="112"/>
      <c r="J63" s="138" t="s">
        <v>80</v>
      </c>
      <c r="K63" s="122"/>
      <c r="L63" s="158" t="str">
        <f t="shared" si="6"/>
        <v/>
      </c>
      <c r="M63" s="158" t="str">
        <f t="shared" si="7"/>
        <v/>
      </c>
      <c r="N63" s="63" t="str">
        <f t="shared" si="8"/>
        <v/>
      </c>
      <c r="O63" s="321" t="e">
        <f t="shared" si="9"/>
        <v>#VALUE!</v>
      </c>
      <c r="P63" s="321" t="e">
        <f t="shared" si="10"/>
        <v>#VALUE!</v>
      </c>
    </row>
    <row r="64" spans="1:16" ht="15.9" customHeight="1" thickTop="1" thickBot="1" x14ac:dyDescent="0.25">
      <c r="I64" s="112"/>
      <c r="J64" s="139" t="s">
        <v>73</v>
      </c>
      <c r="K64" s="122"/>
      <c r="L64" s="158" t="str">
        <f t="shared" si="6"/>
        <v/>
      </c>
      <c r="M64" s="158" t="str">
        <f t="shared" si="7"/>
        <v/>
      </c>
      <c r="N64" s="63" t="str">
        <f t="shared" si="8"/>
        <v/>
      </c>
      <c r="O64" s="321" t="e">
        <f t="shared" si="9"/>
        <v>#VALUE!</v>
      </c>
      <c r="P64" s="321" t="e">
        <f t="shared" si="10"/>
        <v>#VALUE!</v>
      </c>
    </row>
    <row r="65" spans="9:16" ht="15.9" customHeight="1" thickTop="1" thickBot="1" x14ac:dyDescent="0.25">
      <c r="I65" s="112" t="s">
        <v>79</v>
      </c>
      <c r="J65" s="139" t="s">
        <v>74</v>
      </c>
      <c r="K65" s="122"/>
      <c r="L65" s="158" t="str">
        <f t="shared" si="6"/>
        <v/>
      </c>
      <c r="M65" s="158" t="str">
        <f t="shared" si="7"/>
        <v/>
      </c>
      <c r="N65" s="63" t="str">
        <f t="shared" si="8"/>
        <v/>
      </c>
      <c r="O65" s="321" t="e">
        <f t="shared" si="9"/>
        <v>#VALUE!</v>
      </c>
      <c r="P65" s="321" t="e">
        <f t="shared" si="10"/>
        <v>#VALUE!</v>
      </c>
    </row>
    <row r="66" spans="9:16" ht="15.9" customHeight="1" thickTop="1" thickBot="1" x14ac:dyDescent="0.25">
      <c r="I66" s="145">
        <f>SUM(K59:K71)</f>
        <v>0</v>
      </c>
      <c r="J66" s="139" t="s">
        <v>115</v>
      </c>
      <c r="K66" s="122"/>
      <c r="L66" s="158" t="str">
        <f t="shared" si="6"/>
        <v/>
      </c>
      <c r="M66" s="158" t="str">
        <f t="shared" si="7"/>
        <v/>
      </c>
      <c r="N66" s="63" t="str">
        <f t="shared" si="8"/>
        <v/>
      </c>
      <c r="O66" s="321" t="e">
        <f t="shared" si="9"/>
        <v>#VALUE!</v>
      </c>
      <c r="P66" s="321" t="e">
        <f t="shared" si="10"/>
        <v>#VALUE!</v>
      </c>
    </row>
    <row r="67" spans="9:16" ht="15.9" customHeight="1" thickTop="1" thickBot="1" x14ac:dyDescent="0.25">
      <c r="I67" s="112" t="s">
        <v>129</v>
      </c>
      <c r="J67" s="139" t="s">
        <v>77</v>
      </c>
      <c r="K67" s="122"/>
      <c r="L67" s="158" t="str">
        <f t="shared" si="6"/>
        <v/>
      </c>
      <c r="M67" s="158" t="str">
        <f t="shared" si="7"/>
        <v/>
      </c>
      <c r="N67" s="63" t="str">
        <f t="shared" si="8"/>
        <v/>
      </c>
      <c r="O67" s="321" t="e">
        <f t="shared" si="9"/>
        <v>#VALUE!</v>
      </c>
      <c r="P67" s="321" t="e">
        <f t="shared" si="10"/>
        <v>#VALUE!</v>
      </c>
    </row>
    <row r="68" spans="9:16" ht="15.9" customHeight="1" thickTop="1" thickBot="1" x14ac:dyDescent="0.25">
      <c r="I68" s="133"/>
      <c r="J68" s="139" t="s">
        <v>76</v>
      </c>
      <c r="K68" s="122"/>
      <c r="L68" s="158" t="str">
        <f t="shared" si="6"/>
        <v/>
      </c>
      <c r="M68" s="158" t="str">
        <f t="shared" si="7"/>
        <v/>
      </c>
      <c r="N68" s="63" t="str">
        <f t="shared" si="8"/>
        <v/>
      </c>
      <c r="O68" s="321" t="e">
        <f t="shared" si="9"/>
        <v>#VALUE!</v>
      </c>
      <c r="P68" s="321" t="e">
        <f t="shared" si="10"/>
        <v>#VALUE!</v>
      </c>
    </row>
    <row r="69" spans="9:16" ht="15.9" customHeight="1" thickTop="1" thickBot="1" x14ac:dyDescent="0.25">
      <c r="I69" s="133"/>
      <c r="J69" s="209" t="s">
        <v>75</v>
      </c>
      <c r="K69" s="122"/>
      <c r="L69" s="158" t="str">
        <f t="shared" si="6"/>
        <v/>
      </c>
      <c r="M69" s="158" t="str">
        <f t="shared" si="7"/>
        <v/>
      </c>
      <c r="N69" s="63" t="str">
        <f t="shared" si="8"/>
        <v/>
      </c>
      <c r="O69" s="321" t="e">
        <f t="shared" si="9"/>
        <v>#VALUE!</v>
      </c>
      <c r="P69" s="321" t="e">
        <f t="shared" si="10"/>
        <v>#VALUE!</v>
      </c>
    </row>
    <row r="70" spans="9:16" ht="15.9" customHeight="1" thickTop="1" thickBot="1" x14ac:dyDescent="0.25">
      <c r="I70" s="133"/>
      <c r="J70" s="209" t="s">
        <v>75</v>
      </c>
      <c r="K70" s="122"/>
      <c r="L70" s="158" t="str">
        <f t="shared" si="6"/>
        <v/>
      </c>
      <c r="M70" s="158" t="str">
        <f t="shared" si="7"/>
        <v/>
      </c>
      <c r="N70" s="63" t="str">
        <f t="shared" si="8"/>
        <v/>
      </c>
      <c r="O70" s="321" t="e">
        <f t="shared" si="9"/>
        <v>#VALUE!</v>
      </c>
      <c r="P70" s="321" t="e">
        <f t="shared" si="10"/>
        <v>#VALUE!</v>
      </c>
    </row>
    <row r="71" spans="9:16" ht="15.9" customHeight="1" thickTop="1" thickBot="1" x14ac:dyDescent="0.25">
      <c r="I71" s="136"/>
      <c r="J71" s="139" t="s">
        <v>75</v>
      </c>
      <c r="K71" s="122"/>
      <c r="L71" s="158" t="str">
        <f t="shared" si="6"/>
        <v/>
      </c>
      <c r="M71" s="158" t="str">
        <f t="shared" si="7"/>
        <v/>
      </c>
      <c r="N71" s="63" t="str">
        <f t="shared" si="8"/>
        <v/>
      </c>
      <c r="O71" s="321" t="e">
        <f t="shared" si="9"/>
        <v>#VALUE!</v>
      </c>
      <c r="P71" s="321" t="e">
        <f t="shared" si="10"/>
        <v>#VALUE!</v>
      </c>
    </row>
    <row r="72" spans="9:16" ht="15.9" customHeight="1" thickTop="1" thickBot="1" x14ac:dyDescent="0.25">
      <c r="J72" s="100"/>
      <c r="K72" s="63"/>
      <c r="L72" s="158" t="str">
        <f t="shared" si="6"/>
        <v/>
      </c>
      <c r="M72" s="158" t="str">
        <f t="shared" si="7"/>
        <v/>
      </c>
      <c r="N72" s="100"/>
      <c r="O72" s="321" t="e">
        <f t="shared" si="9"/>
        <v>#VALUE!</v>
      </c>
      <c r="P72" s="321" t="e">
        <f t="shared" si="10"/>
        <v>#VALUE!</v>
      </c>
    </row>
    <row r="73" spans="9:16" ht="15.9" customHeight="1" thickTop="1" thickBot="1" x14ac:dyDescent="0.25">
      <c r="I73" s="65"/>
      <c r="J73" s="138" t="s">
        <v>73</v>
      </c>
      <c r="K73" s="122"/>
      <c r="L73" s="158" t="str">
        <f t="shared" si="6"/>
        <v/>
      </c>
      <c r="M73" s="158" t="str">
        <f t="shared" si="7"/>
        <v/>
      </c>
      <c r="N73" s="63" t="str">
        <f>IF(ISNUMBER(L73),1,"")</f>
        <v/>
      </c>
      <c r="O73" s="321" t="e">
        <f t="shared" si="9"/>
        <v>#VALUE!</v>
      </c>
      <c r="P73" s="321" t="e">
        <f t="shared" si="10"/>
        <v>#VALUE!</v>
      </c>
    </row>
    <row r="74" spans="9:16" ht="15.9" customHeight="1" thickTop="1" thickBot="1" x14ac:dyDescent="0.25">
      <c r="I74" s="112"/>
      <c r="J74" s="138" t="s">
        <v>85</v>
      </c>
      <c r="K74" s="122"/>
      <c r="L74" s="158" t="str">
        <f t="shared" si="6"/>
        <v/>
      </c>
      <c r="M74" s="158" t="str">
        <f t="shared" si="7"/>
        <v/>
      </c>
      <c r="N74" s="63" t="str">
        <f t="shared" ref="N74:N85" si="11">IF(ISNUMBER(L74),1,"")</f>
        <v/>
      </c>
      <c r="O74" s="321" t="e">
        <f t="shared" si="9"/>
        <v>#VALUE!</v>
      </c>
      <c r="P74" s="321" t="e">
        <f t="shared" si="10"/>
        <v>#VALUE!</v>
      </c>
    </row>
    <row r="75" spans="9:16" ht="15.9" customHeight="1" thickTop="1" thickBot="1" x14ac:dyDescent="0.25">
      <c r="I75" s="112"/>
      <c r="J75" s="138" t="s">
        <v>86</v>
      </c>
      <c r="K75" s="122"/>
      <c r="L75" s="158" t="str">
        <f t="shared" si="6"/>
        <v/>
      </c>
      <c r="M75" s="158" t="str">
        <f t="shared" si="7"/>
        <v/>
      </c>
      <c r="N75" s="63" t="str">
        <f t="shared" si="11"/>
        <v/>
      </c>
      <c r="O75" s="321" t="e">
        <f t="shared" si="9"/>
        <v>#VALUE!</v>
      </c>
      <c r="P75" s="321" t="e">
        <f t="shared" si="10"/>
        <v>#VALUE!</v>
      </c>
    </row>
    <row r="76" spans="9:16" ht="15.9" customHeight="1" thickTop="1" thickBot="1" x14ac:dyDescent="0.25">
      <c r="I76" s="112"/>
      <c r="J76" s="138" t="s">
        <v>75</v>
      </c>
      <c r="K76" s="122"/>
      <c r="L76" s="158" t="str">
        <f t="shared" si="6"/>
        <v/>
      </c>
      <c r="M76" s="158" t="str">
        <f t="shared" si="7"/>
        <v/>
      </c>
      <c r="N76" s="63" t="str">
        <f t="shared" si="11"/>
        <v/>
      </c>
      <c r="O76" s="321" t="e">
        <f t="shared" si="9"/>
        <v>#VALUE!</v>
      </c>
      <c r="P76" s="321" t="e">
        <f t="shared" si="10"/>
        <v>#VALUE!</v>
      </c>
    </row>
    <row r="77" spans="9:16" ht="15.9" customHeight="1" thickTop="1" thickBot="1" x14ac:dyDescent="0.25">
      <c r="I77" s="112" t="s">
        <v>84</v>
      </c>
      <c r="J77" s="138" t="s">
        <v>75</v>
      </c>
      <c r="K77" s="122"/>
      <c r="L77" s="158" t="str">
        <f t="shared" si="6"/>
        <v/>
      </c>
      <c r="M77" s="158" t="str">
        <f t="shared" si="7"/>
        <v/>
      </c>
      <c r="N77" s="63" t="str">
        <f t="shared" si="11"/>
        <v/>
      </c>
      <c r="O77" s="321" t="e">
        <f t="shared" si="9"/>
        <v>#VALUE!</v>
      </c>
      <c r="P77" s="321" t="e">
        <f t="shared" si="10"/>
        <v>#VALUE!</v>
      </c>
    </row>
    <row r="78" spans="9:16" ht="15.9" customHeight="1" thickTop="1" thickBot="1" x14ac:dyDescent="0.25">
      <c r="I78" s="145">
        <f>SUM(K73:K85)</f>
        <v>0</v>
      </c>
      <c r="J78" s="138" t="s">
        <v>75</v>
      </c>
      <c r="K78" s="122"/>
      <c r="L78" s="158" t="str">
        <f t="shared" si="6"/>
        <v/>
      </c>
      <c r="M78" s="158" t="str">
        <f t="shared" si="7"/>
        <v/>
      </c>
      <c r="N78" s="63" t="str">
        <f t="shared" si="11"/>
        <v/>
      </c>
      <c r="O78" s="321" t="e">
        <f t="shared" si="9"/>
        <v>#VALUE!</v>
      </c>
      <c r="P78" s="321" t="e">
        <f t="shared" si="10"/>
        <v>#VALUE!</v>
      </c>
    </row>
    <row r="79" spans="9:16" ht="15.9" customHeight="1" thickTop="1" thickBot="1" x14ac:dyDescent="0.25">
      <c r="I79" s="112" t="s">
        <v>129</v>
      </c>
      <c r="J79" s="138" t="s">
        <v>75</v>
      </c>
      <c r="K79" s="122"/>
      <c r="L79" s="158" t="str">
        <f t="shared" si="6"/>
        <v/>
      </c>
      <c r="M79" s="158" t="str">
        <f t="shared" si="7"/>
        <v/>
      </c>
      <c r="N79" s="63" t="str">
        <f t="shared" si="11"/>
        <v/>
      </c>
      <c r="O79" s="321" t="e">
        <f t="shared" si="9"/>
        <v>#VALUE!</v>
      </c>
      <c r="P79" s="321" t="e">
        <f t="shared" si="10"/>
        <v>#VALUE!</v>
      </c>
    </row>
    <row r="80" spans="9:16" ht="15.9" customHeight="1" thickTop="1" thickBot="1" x14ac:dyDescent="0.25">
      <c r="I80" s="133"/>
      <c r="J80" s="138" t="s">
        <v>75</v>
      </c>
      <c r="K80" s="122"/>
      <c r="L80" s="158" t="str">
        <f t="shared" si="6"/>
        <v/>
      </c>
      <c r="M80" s="158" t="str">
        <f t="shared" si="7"/>
        <v/>
      </c>
      <c r="N80" s="63" t="str">
        <f t="shared" si="11"/>
        <v/>
      </c>
      <c r="O80" s="321" t="e">
        <f t="shared" si="9"/>
        <v>#VALUE!</v>
      </c>
      <c r="P80" s="321" t="e">
        <f t="shared" si="10"/>
        <v>#VALUE!</v>
      </c>
    </row>
    <row r="81" spans="9:16" ht="15.9" customHeight="1" thickTop="1" thickBot="1" x14ac:dyDescent="0.25">
      <c r="I81" s="133"/>
      <c r="J81" s="138" t="s">
        <v>77</v>
      </c>
      <c r="K81" s="122"/>
      <c r="L81" s="158" t="str">
        <f t="shared" si="6"/>
        <v/>
      </c>
      <c r="M81" s="158" t="str">
        <f t="shared" si="7"/>
        <v/>
      </c>
      <c r="N81" s="63" t="str">
        <f t="shared" si="11"/>
        <v/>
      </c>
      <c r="O81" s="321" t="e">
        <f t="shared" si="9"/>
        <v>#VALUE!</v>
      </c>
      <c r="P81" s="321" t="e">
        <f t="shared" si="10"/>
        <v>#VALUE!</v>
      </c>
    </row>
    <row r="82" spans="9:16" ht="15.9" customHeight="1" thickTop="1" thickBot="1" x14ac:dyDescent="0.25">
      <c r="I82" s="133"/>
      <c r="J82" s="138" t="s">
        <v>73</v>
      </c>
      <c r="K82" s="122"/>
      <c r="L82" s="158" t="str">
        <f t="shared" si="6"/>
        <v/>
      </c>
      <c r="M82" s="158" t="str">
        <f t="shared" si="7"/>
        <v/>
      </c>
      <c r="N82" s="63" t="str">
        <f t="shared" si="11"/>
        <v/>
      </c>
      <c r="O82" s="321" t="e">
        <f t="shared" si="9"/>
        <v>#VALUE!</v>
      </c>
      <c r="P82" s="321" t="e">
        <f t="shared" si="10"/>
        <v>#VALUE!</v>
      </c>
    </row>
    <row r="83" spans="9:16" ht="15.9" customHeight="1" thickTop="1" thickBot="1" x14ac:dyDescent="0.25">
      <c r="I83" s="133"/>
      <c r="J83" s="209" t="s">
        <v>75</v>
      </c>
      <c r="K83" s="122"/>
      <c r="L83" s="158" t="str">
        <f t="shared" si="6"/>
        <v/>
      </c>
      <c r="M83" s="158" t="str">
        <f t="shared" si="7"/>
        <v/>
      </c>
      <c r="N83" s="63" t="str">
        <f t="shared" si="11"/>
        <v/>
      </c>
      <c r="O83" s="321" t="e">
        <f t="shared" si="9"/>
        <v>#VALUE!</v>
      </c>
      <c r="P83" s="321" t="e">
        <f t="shared" si="10"/>
        <v>#VALUE!</v>
      </c>
    </row>
    <row r="84" spans="9:16" ht="15.9" customHeight="1" thickTop="1" thickBot="1" x14ac:dyDescent="0.25">
      <c r="I84" s="206"/>
      <c r="J84" s="209" t="s">
        <v>75</v>
      </c>
      <c r="K84" s="122"/>
      <c r="L84" s="158" t="str">
        <f t="shared" si="6"/>
        <v/>
      </c>
      <c r="M84" s="158" t="str">
        <f t="shared" si="7"/>
        <v/>
      </c>
      <c r="N84" s="63" t="str">
        <f t="shared" si="11"/>
        <v/>
      </c>
      <c r="O84" s="321" t="e">
        <f t="shared" si="9"/>
        <v>#VALUE!</v>
      </c>
      <c r="P84" s="321" t="e">
        <f t="shared" si="10"/>
        <v>#VALUE!</v>
      </c>
    </row>
    <row r="85" spans="9:16" ht="15.9" customHeight="1" thickTop="1" thickBot="1" x14ac:dyDescent="0.25">
      <c r="I85" s="207"/>
      <c r="J85" s="139" t="s">
        <v>75</v>
      </c>
      <c r="K85" s="122"/>
      <c r="L85" s="158" t="str">
        <f t="shared" si="6"/>
        <v/>
      </c>
      <c r="M85" s="158" t="str">
        <f t="shared" si="7"/>
        <v/>
      </c>
      <c r="N85" s="63" t="str">
        <f t="shared" si="11"/>
        <v/>
      </c>
      <c r="O85" s="321" t="e">
        <f t="shared" si="9"/>
        <v>#VALUE!</v>
      </c>
      <c r="P85" s="321" t="e">
        <f t="shared" si="10"/>
        <v>#VALUE!</v>
      </c>
    </row>
    <row r="86" spans="9:16" ht="15" thickTop="1" thickBot="1" x14ac:dyDescent="0.25">
      <c r="J86" s="149" t="s">
        <v>209</v>
      </c>
      <c r="K86" s="121">
        <f>I66+I78</f>
        <v>0</v>
      </c>
      <c r="L86" s="117">
        <f>SUM(L59:L85)</f>
        <v>0</v>
      </c>
      <c r="M86" s="117">
        <f>SUM(M59:M85)</f>
        <v>0</v>
      </c>
      <c r="N86" s="118">
        <f>SUM(N59:N85)</f>
        <v>0</v>
      </c>
    </row>
    <row r="87" spans="9:16" ht="13.8" x14ac:dyDescent="0.2">
      <c r="K87" s="99" t="s">
        <v>129</v>
      </c>
      <c r="L87" s="99" t="s">
        <v>129</v>
      </c>
      <c r="M87" s="99" t="s">
        <v>129</v>
      </c>
      <c r="N87" s="99" t="s">
        <v>128</v>
      </c>
    </row>
    <row r="89" spans="9:16" x14ac:dyDescent="0.2">
      <c r="L89" s="6">
        <f>L86*0.12</f>
        <v>0</v>
      </c>
      <c r="M89" s="6">
        <f>M86*0.14</f>
        <v>0</v>
      </c>
    </row>
  </sheetData>
  <autoFilter ref="H19:H38" xr:uid="{00000000-0009-0000-0000-000000000000}"/>
  <mergeCells count="30">
    <mergeCell ref="A17:G17"/>
    <mergeCell ref="A26:F26"/>
    <mergeCell ref="B18:B19"/>
    <mergeCell ref="C18:C19"/>
    <mergeCell ref="D18:D19"/>
    <mergeCell ref="A40:G40"/>
    <mergeCell ref="E18:E19"/>
    <mergeCell ref="B37:F37"/>
    <mergeCell ref="J57:N57"/>
    <mergeCell ref="B56:C56"/>
    <mergeCell ref="A36:F36"/>
    <mergeCell ref="A44:G44"/>
    <mergeCell ref="A45:G45"/>
    <mergeCell ref="B54:C54"/>
    <mergeCell ref="B55:C55"/>
    <mergeCell ref="A51:G51"/>
    <mergeCell ref="A50:G50"/>
    <mergeCell ref="A49:G49"/>
    <mergeCell ref="A46:C46"/>
    <mergeCell ref="A43:G43"/>
    <mergeCell ref="A16:G16"/>
    <mergeCell ref="A4:C4"/>
    <mergeCell ref="C1:G1"/>
    <mergeCell ref="A6:C6"/>
    <mergeCell ref="A7:C7"/>
    <mergeCell ref="A8:C8"/>
    <mergeCell ref="A2:C2"/>
    <mergeCell ref="A5:C5"/>
    <mergeCell ref="A10:F10"/>
    <mergeCell ref="A11:F11"/>
  </mergeCells>
  <phoneticPr fontId="17" type="noConversion"/>
  <hyperlinks>
    <hyperlink ref="B57" r:id="rId1" xr:uid="{193EE8ED-6ADD-4614-A6B8-DD854F8F83BB}"/>
  </hyperlinks>
  <pageMargins left="0.70866141732283505" right="0.23622047244094499" top="1.14173228346457" bottom="1.0629910323709499" header="0.19684930008748899" footer="0.15748031496063"/>
  <pageSetup paperSize="9" scale="85" orientation="portrait" r:id="rId2"/>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3"/>
  <legacyDrawing r:id="rId4"/>
  <legacyDrawingHF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FA034-4642-4CCE-A72A-B17EA6E856F0}">
  <sheetPr codeName="Foaie6">
    <tabColor theme="4" tint="0.39997558519241921"/>
  </sheetPr>
  <dimension ref="A1:Z108"/>
  <sheetViews>
    <sheetView zoomScaleNormal="100" zoomScaleSheetLayoutView="100" workbookViewId="0">
      <selection activeCell="A2" sqref="A2:C2"/>
    </sheetView>
  </sheetViews>
  <sheetFormatPr defaultColWidth="9.109375" defaultRowHeight="11.4" x14ac:dyDescent="0.2"/>
  <cols>
    <col min="1" max="1" width="5.6640625" style="6" customWidth="1"/>
    <col min="2" max="2" width="8.33203125" style="6" customWidth="1"/>
    <col min="3" max="3" width="57.88671875" style="6" customWidth="1"/>
    <col min="4" max="4" width="9.88671875" style="6" customWidth="1"/>
    <col min="5" max="5" width="5.88671875" style="6" customWidth="1"/>
    <col min="6" max="6" width="10.109375" style="6" customWidth="1"/>
    <col min="7" max="7" width="11.33203125" style="6" customWidth="1"/>
    <col min="8" max="8" width="6" style="6" customWidth="1"/>
    <col min="9" max="9" width="7.44140625" style="6" customWidth="1"/>
    <col min="10" max="10" width="13.33203125" style="6" customWidth="1"/>
    <col min="11" max="11" width="9.88671875" style="6" customWidth="1"/>
    <col min="12" max="13" width="10.109375" style="6" customWidth="1"/>
    <col min="14" max="14" width="8" style="6" customWidth="1"/>
    <col min="15" max="15" width="7" style="6" customWidth="1"/>
    <col min="16" max="16" width="12.88671875" style="6" customWidth="1"/>
    <col min="17" max="17" width="9.44140625" style="6" customWidth="1"/>
    <col min="18" max="18" width="8.44140625" style="6" customWidth="1"/>
    <col min="19" max="19" width="9.109375" style="6"/>
    <col min="20" max="20" width="9.88671875" style="6" customWidth="1"/>
    <col min="21" max="21" width="8.33203125" style="6" customWidth="1"/>
    <col min="22" max="22" width="5.88671875" style="6" customWidth="1"/>
    <col min="23" max="23" width="7.6640625" style="6" customWidth="1"/>
    <col min="24" max="24" width="9.6640625" style="6" customWidth="1"/>
    <col min="25" max="16384" width="9.109375" style="6"/>
  </cols>
  <sheetData>
    <row r="1" spans="1:19" ht="132" customHeight="1" x14ac:dyDescent="0.2">
      <c r="C1" s="405" t="s">
        <v>383</v>
      </c>
      <c r="D1" s="405"/>
      <c r="E1" s="405"/>
      <c r="F1" s="405"/>
      <c r="G1" s="405"/>
      <c r="H1" s="10"/>
      <c r="I1" s="10"/>
      <c r="J1" s="10"/>
      <c r="K1" s="10"/>
    </row>
    <row r="2" spans="1:19" ht="14.4" x14ac:dyDescent="0.3">
      <c r="A2" s="408" t="s">
        <v>420</v>
      </c>
      <c r="B2" s="409"/>
      <c r="C2" s="409"/>
    </row>
    <row r="3" spans="1:19" x14ac:dyDescent="0.2">
      <c r="A3" s="2"/>
    </row>
    <row r="4" spans="1:19" ht="14.4" x14ac:dyDescent="0.3">
      <c r="A4" s="419" t="s">
        <v>132</v>
      </c>
      <c r="B4" s="409"/>
      <c r="C4" s="409"/>
    </row>
    <row r="5" spans="1:19" ht="14.4" x14ac:dyDescent="0.3">
      <c r="A5" s="419" t="s">
        <v>15</v>
      </c>
      <c r="B5" s="409"/>
      <c r="C5" s="409"/>
    </row>
    <row r="6" spans="1:19" ht="14.4" x14ac:dyDescent="0.3">
      <c r="A6" s="420" t="s">
        <v>13</v>
      </c>
      <c r="B6" s="421"/>
      <c r="C6" s="421"/>
    </row>
    <row r="7" spans="1:19" ht="14.4" x14ac:dyDescent="0.3">
      <c r="A7" s="419" t="s">
        <v>147</v>
      </c>
      <c r="B7" s="409"/>
      <c r="C7" s="409"/>
    </row>
    <row r="8" spans="1:19" ht="14.4" x14ac:dyDescent="0.3">
      <c r="A8" s="419"/>
      <c r="B8" s="409"/>
      <c r="C8" s="409"/>
    </row>
    <row r="10" spans="1:19" ht="24.75" customHeight="1" thickBot="1" x14ac:dyDescent="0.25">
      <c r="A10" s="406" t="s">
        <v>0</v>
      </c>
      <c r="B10" s="406"/>
      <c r="C10" s="406"/>
      <c r="D10" s="406"/>
      <c r="E10" s="406"/>
      <c r="F10" s="406"/>
      <c r="G10" s="12" t="s">
        <v>186</v>
      </c>
      <c r="H10" s="4"/>
      <c r="I10" s="4"/>
      <c r="J10" s="5"/>
      <c r="K10" s="5"/>
      <c r="L10" s="5"/>
      <c r="M10" s="5"/>
      <c r="N10" s="5"/>
      <c r="O10" s="5"/>
      <c r="P10" s="5"/>
      <c r="Q10" s="5"/>
    </row>
    <row r="11" spans="1:19" ht="32.25" customHeight="1" thickTop="1" thickBot="1" x14ac:dyDescent="0.25">
      <c r="A11" s="406" t="s">
        <v>65</v>
      </c>
      <c r="B11" s="406"/>
      <c r="C11" s="406"/>
      <c r="D11" s="406"/>
      <c r="E11" s="406"/>
      <c r="F11" s="406"/>
      <c r="G11" s="128">
        <f>K107+Q107</f>
        <v>0</v>
      </c>
      <c r="H11" s="4"/>
      <c r="I11" s="4"/>
      <c r="J11" s="5"/>
      <c r="K11" s="5"/>
      <c r="L11" s="5"/>
      <c r="M11" s="5"/>
      <c r="N11" s="5"/>
      <c r="O11" s="12"/>
      <c r="P11" s="5"/>
      <c r="Q11" s="5"/>
    </row>
    <row r="12" spans="1:19" ht="39" customHeight="1" thickTop="1" x14ac:dyDescent="0.2">
      <c r="A12" s="101"/>
      <c r="B12" s="101"/>
      <c r="C12" s="101"/>
      <c r="D12" s="101"/>
      <c r="E12" s="101"/>
      <c r="F12" s="101"/>
      <c r="G12" s="11"/>
      <c r="H12" s="4"/>
      <c r="I12" s="4"/>
      <c r="J12" s="5"/>
      <c r="K12" s="5"/>
      <c r="L12" s="5"/>
      <c r="M12" s="5"/>
      <c r="N12" s="5"/>
      <c r="O12" s="12"/>
      <c r="P12" s="5"/>
      <c r="Q12" s="5"/>
    </row>
    <row r="13" spans="1:19" ht="39" customHeight="1" x14ac:dyDescent="0.2">
      <c r="A13" s="4"/>
      <c r="B13" s="4"/>
      <c r="C13" s="4"/>
      <c r="D13" s="4"/>
      <c r="E13" s="4"/>
      <c r="F13" s="4"/>
      <c r="G13" s="4"/>
      <c r="H13" s="4"/>
      <c r="I13" s="4"/>
      <c r="J13" s="5"/>
      <c r="K13" s="5"/>
      <c r="L13" s="5"/>
      <c r="M13" s="5"/>
      <c r="N13" s="5"/>
      <c r="O13" s="48"/>
      <c r="P13" s="5"/>
      <c r="Q13" s="12"/>
    </row>
    <row r="14" spans="1:19" ht="39" customHeight="1" x14ac:dyDescent="0.2">
      <c r="A14" s="4"/>
      <c r="B14" s="4"/>
      <c r="C14" s="4"/>
      <c r="D14" s="4"/>
      <c r="E14" s="4"/>
      <c r="F14" s="4"/>
      <c r="G14" s="4"/>
      <c r="H14" s="4"/>
      <c r="I14" s="4"/>
      <c r="J14" s="12" t="s">
        <v>220</v>
      </c>
      <c r="K14" s="5"/>
      <c r="L14" s="3" t="s">
        <v>377</v>
      </c>
      <c r="M14" s="3"/>
      <c r="N14" s="12" t="s">
        <v>101</v>
      </c>
      <c r="O14" s="12"/>
      <c r="P14" s="12" t="s">
        <v>329</v>
      </c>
      <c r="Q14" s="12" t="s">
        <v>100</v>
      </c>
      <c r="R14" s="12"/>
      <c r="S14" s="12"/>
    </row>
    <row r="15" spans="1:19" ht="15.75" customHeight="1" x14ac:dyDescent="0.2">
      <c r="A15" s="4"/>
      <c r="B15" s="4"/>
      <c r="C15" s="4"/>
      <c r="D15" s="4"/>
      <c r="E15" s="218"/>
      <c r="F15" s="4"/>
      <c r="G15" s="12" t="s">
        <v>331</v>
      </c>
      <c r="H15" s="4"/>
      <c r="I15" s="4"/>
      <c r="J15" s="5"/>
      <c r="K15" s="5"/>
      <c r="L15" s="5"/>
      <c r="M15" s="5"/>
      <c r="N15" s="5"/>
      <c r="O15" s="5"/>
      <c r="P15" s="5"/>
      <c r="Q15" s="5"/>
    </row>
    <row r="16" spans="1:19" x14ac:dyDescent="0.2">
      <c r="A16" s="4"/>
      <c r="B16" s="4"/>
      <c r="C16" s="4"/>
      <c r="D16" s="4"/>
      <c r="E16" s="4"/>
      <c r="F16" s="4"/>
      <c r="G16" s="4"/>
      <c r="H16" s="4"/>
      <c r="I16" s="4"/>
      <c r="J16" s="5"/>
      <c r="K16" s="5"/>
      <c r="L16" s="5"/>
      <c r="M16" s="5"/>
      <c r="N16" s="5"/>
      <c r="O16" s="5"/>
      <c r="P16" s="5"/>
      <c r="Q16" s="5"/>
    </row>
    <row r="17" spans="1:17" x14ac:dyDescent="0.2">
      <c r="A17" s="4"/>
      <c r="B17" s="4"/>
      <c r="C17" s="4"/>
      <c r="D17" s="4"/>
      <c r="E17" s="4"/>
      <c r="F17" s="4"/>
      <c r="G17" s="4"/>
      <c r="H17" s="4"/>
      <c r="I17" s="4"/>
      <c r="J17" s="5"/>
      <c r="K17" s="5"/>
      <c r="L17" s="5"/>
      <c r="M17" s="5"/>
      <c r="N17" s="5"/>
      <c r="O17" s="5"/>
      <c r="P17" s="5"/>
      <c r="Q17" s="5"/>
    </row>
    <row r="18" spans="1:17" ht="21.75" customHeight="1" thickBot="1" x14ac:dyDescent="0.45">
      <c r="A18" s="410" t="s">
        <v>60</v>
      </c>
      <c r="B18" s="411"/>
      <c r="C18" s="411"/>
      <c r="D18" s="411"/>
      <c r="E18" s="411"/>
      <c r="F18" s="411"/>
      <c r="G18" s="411"/>
      <c r="H18" s="5"/>
      <c r="I18" s="5"/>
      <c r="J18" s="5"/>
      <c r="K18" s="5"/>
      <c r="L18" s="5"/>
      <c r="M18" s="5"/>
      <c r="N18" s="5"/>
      <c r="O18" s="5"/>
      <c r="P18" s="5"/>
      <c r="Q18" s="5"/>
    </row>
    <row r="19" spans="1:17" ht="27" customHeight="1" thickTop="1" thickBot="1" x14ac:dyDescent="0.25">
      <c r="A19" s="32" t="s">
        <v>1</v>
      </c>
      <c r="B19" s="407" t="s">
        <v>3</v>
      </c>
      <c r="C19" s="407" t="s">
        <v>4</v>
      </c>
      <c r="D19" s="407" t="s">
        <v>5</v>
      </c>
      <c r="E19" s="407" t="s">
        <v>6</v>
      </c>
      <c r="F19" s="32" t="s">
        <v>7</v>
      </c>
      <c r="G19" s="32" t="s">
        <v>9</v>
      </c>
      <c r="H19" s="5"/>
      <c r="I19" s="5"/>
      <c r="J19" s="5"/>
      <c r="K19" s="5"/>
      <c r="L19" s="5"/>
      <c r="M19" s="5"/>
      <c r="N19" s="150" t="s">
        <v>348</v>
      </c>
      <c r="O19" s="5"/>
      <c r="P19" s="5"/>
      <c r="Q19" s="5"/>
    </row>
    <row r="20" spans="1:17" ht="30.75" customHeight="1" thickTop="1" thickBot="1" x14ac:dyDescent="0.25">
      <c r="A20" s="32" t="s">
        <v>2</v>
      </c>
      <c r="B20" s="407"/>
      <c r="C20" s="407"/>
      <c r="D20" s="407"/>
      <c r="E20" s="407"/>
      <c r="F20" s="32" t="s">
        <v>8</v>
      </c>
      <c r="G20" s="32" t="s">
        <v>8</v>
      </c>
      <c r="H20" s="281"/>
      <c r="I20" s="5"/>
      <c r="J20" s="5"/>
      <c r="K20" s="5"/>
      <c r="L20" s="5"/>
      <c r="M20" s="5"/>
      <c r="N20" s="12" t="s">
        <v>63</v>
      </c>
      <c r="O20" s="5"/>
      <c r="P20" s="5"/>
      <c r="Q20" s="5"/>
    </row>
    <row r="21" spans="1:17" ht="18" customHeight="1" thickTop="1" thickBot="1" x14ac:dyDescent="0.35">
      <c r="A21" s="159" t="s">
        <v>372</v>
      </c>
      <c r="B21" s="325"/>
      <c r="C21" s="325"/>
      <c r="D21" s="325"/>
      <c r="E21" s="337" t="s">
        <v>370</v>
      </c>
      <c r="F21" s="333">
        <f>L107</f>
        <v>0</v>
      </c>
      <c r="G21" s="186" t="s">
        <v>129</v>
      </c>
      <c r="H21" s="48">
        <f>H22</f>
        <v>0</v>
      </c>
      <c r="I21" s="5"/>
      <c r="J21" s="5"/>
      <c r="K21" s="5"/>
      <c r="L21" s="5"/>
      <c r="M21" s="5"/>
      <c r="N21" s="5"/>
      <c r="O21" s="5"/>
      <c r="P21" s="5"/>
      <c r="Q21" s="5"/>
    </row>
    <row r="22" spans="1:17" ht="18" customHeight="1" thickTop="1" thickBot="1" x14ac:dyDescent="0.25">
      <c r="A22" s="22"/>
      <c r="B22" s="44">
        <v>360120</v>
      </c>
      <c r="C22" s="45" t="s">
        <v>342</v>
      </c>
      <c r="D22" s="46" t="s">
        <v>111</v>
      </c>
      <c r="E22" s="323">
        <f>L107</f>
        <v>0</v>
      </c>
      <c r="F22" s="350">
        <v>15</v>
      </c>
      <c r="G22" s="153">
        <f t="shared" ref="G22:G26" si="0">E22*F22</f>
        <v>0</v>
      </c>
      <c r="H22" s="48">
        <f t="shared" ref="H22:H26" si="1">E22</f>
        <v>0</v>
      </c>
      <c r="I22" s="5"/>
      <c r="J22" s="5"/>
      <c r="K22" s="5"/>
      <c r="L22" s="5"/>
      <c r="M22" s="5"/>
      <c r="N22" s="12">
        <f>E22*120</f>
        <v>0</v>
      </c>
      <c r="O22" s="5"/>
      <c r="P22" s="5"/>
      <c r="Q22" s="5"/>
    </row>
    <row r="23" spans="1:17" ht="18" customHeight="1" thickTop="1" thickBot="1" x14ac:dyDescent="0.35">
      <c r="A23" s="159" t="s">
        <v>373</v>
      </c>
      <c r="B23" s="325"/>
      <c r="C23" s="325"/>
      <c r="D23" s="325"/>
      <c r="E23" s="337" t="s">
        <v>370</v>
      </c>
      <c r="F23" s="333">
        <f>M107</f>
        <v>0</v>
      </c>
      <c r="G23" s="186" t="s">
        <v>129</v>
      </c>
      <c r="H23" s="48">
        <f>SUM(H24:H26)</f>
        <v>0</v>
      </c>
      <c r="I23" s="5"/>
      <c r="J23" s="5"/>
      <c r="K23" s="5"/>
      <c r="L23" s="5"/>
      <c r="M23" s="5"/>
      <c r="N23" s="12"/>
      <c r="O23" s="5"/>
      <c r="P23" s="5"/>
      <c r="Q23" s="5"/>
    </row>
    <row r="24" spans="1:17" ht="18" customHeight="1" thickTop="1" thickBot="1" x14ac:dyDescent="0.25">
      <c r="A24" s="22"/>
      <c r="B24" s="44">
        <v>360140</v>
      </c>
      <c r="C24" s="45" t="s">
        <v>343</v>
      </c>
      <c r="D24" s="46" t="s">
        <v>111</v>
      </c>
      <c r="E24" s="323">
        <f>M107</f>
        <v>0</v>
      </c>
      <c r="F24" s="350">
        <v>15</v>
      </c>
      <c r="G24" s="153">
        <f t="shared" ref="G24" si="2">E24*F24</f>
        <v>0</v>
      </c>
      <c r="H24" s="48">
        <f t="shared" si="1"/>
        <v>0</v>
      </c>
      <c r="I24" s="5"/>
      <c r="J24" s="5"/>
      <c r="K24" s="5"/>
      <c r="L24" s="5"/>
      <c r="M24" s="5"/>
      <c r="N24" s="12">
        <f>E24*120</f>
        <v>0</v>
      </c>
      <c r="O24" s="5"/>
      <c r="P24" s="5"/>
      <c r="Q24" s="5"/>
    </row>
    <row r="25" spans="1:17" ht="18" customHeight="1" thickTop="1" thickBot="1" x14ac:dyDescent="0.25">
      <c r="A25" s="22"/>
      <c r="B25" s="44">
        <v>720815</v>
      </c>
      <c r="C25" s="45" t="s">
        <v>58</v>
      </c>
      <c r="D25" s="46" t="s">
        <v>57</v>
      </c>
      <c r="E25" s="46">
        <f>IF(E22&lt;&gt;"", E22/10, IF(E24&lt;&gt;"", E24/10, ""))</f>
        <v>0</v>
      </c>
      <c r="F25" s="350">
        <v>32</v>
      </c>
      <c r="G25" s="153">
        <f t="shared" si="0"/>
        <v>0</v>
      </c>
      <c r="H25" s="48">
        <f t="shared" si="1"/>
        <v>0</v>
      </c>
      <c r="I25" s="5"/>
      <c r="J25" s="5"/>
      <c r="K25" s="5"/>
      <c r="L25" s="5"/>
      <c r="M25" s="5"/>
      <c r="N25" s="5"/>
      <c r="O25" s="5"/>
      <c r="P25" s="5"/>
      <c r="Q25" s="5"/>
    </row>
    <row r="26" spans="1:17" ht="18" customHeight="1" thickTop="1" thickBot="1" x14ac:dyDescent="0.25">
      <c r="A26" s="22"/>
      <c r="B26" s="44">
        <v>720810</v>
      </c>
      <c r="C26" s="45" t="s">
        <v>108</v>
      </c>
      <c r="D26" s="46" t="s">
        <v>10</v>
      </c>
      <c r="E26" s="46">
        <f>IF(E25=0, 0, 1)</f>
        <v>0</v>
      </c>
      <c r="F26" s="350">
        <v>16</v>
      </c>
      <c r="G26" s="153">
        <f t="shared" si="0"/>
        <v>0</v>
      </c>
      <c r="H26" s="48">
        <f t="shared" si="1"/>
        <v>0</v>
      </c>
      <c r="I26" s="5"/>
      <c r="J26" s="5"/>
      <c r="K26" s="5"/>
      <c r="L26" s="5"/>
      <c r="M26" s="5"/>
      <c r="N26" s="5"/>
      <c r="O26" s="5"/>
      <c r="P26" s="5"/>
      <c r="Q26" s="5"/>
    </row>
    <row r="27" spans="1:17" ht="18" customHeight="1" thickTop="1" thickBot="1" x14ac:dyDescent="0.25">
      <c r="A27" s="160" t="s">
        <v>346</v>
      </c>
      <c r="B27" s="161"/>
      <c r="C27" s="161"/>
      <c r="D27" s="161"/>
      <c r="E27" s="161"/>
      <c r="F27" s="333">
        <f>Q107</f>
        <v>0</v>
      </c>
      <c r="G27" s="184" t="s">
        <v>129</v>
      </c>
      <c r="H27" s="164">
        <f>SUM(H28:H44)</f>
        <v>0</v>
      </c>
      <c r="I27" s="5"/>
      <c r="J27" s="5"/>
      <c r="K27" s="5"/>
      <c r="L27" s="5"/>
      <c r="M27" s="5"/>
      <c r="N27" s="5"/>
      <c r="O27" s="5"/>
      <c r="P27" s="5"/>
      <c r="Q27" s="5"/>
    </row>
    <row r="28" spans="1:17" ht="18" customHeight="1" thickTop="1" thickBot="1" x14ac:dyDescent="0.25">
      <c r="A28" s="22"/>
      <c r="B28" s="33">
        <v>250201</v>
      </c>
      <c r="C28" s="34" t="s">
        <v>30</v>
      </c>
      <c r="D28" s="35" t="s">
        <v>10</v>
      </c>
      <c r="E28" s="140">
        <f>COUNTIF(S80:S106,1)+COUNTIF(T80:T106,1)+COUNTIF(U80:U106,1)</f>
        <v>0</v>
      </c>
      <c r="F28" s="350">
        <v>33</v>
      </c>
      <c r="G28" s="153">
        <f>E28*F28</f>
        <v>0</v>
      </c>
      <c r="H28" s="165">
        <f>E28</f>
        <v>0</v>
      </c>
      <c r="J28" s="5"/>
      <c r="N28" s="189">
        <f>E28*150</f>
        <v>0</v>
      </c>
    </row>
    <row r="29" spans="1:17" ht="18" customHeight="1" thickTop="1" thickBot="1" x14ac:dyDescent="0.25">
      <c r="A29" s="22"/>
      <c r="B29" s="33">
        <v>250301</v>
      </c>
      <c r="C29" s="34" t="s">
        <v>31</v>
      </c>
      <c r="D29" s="35" t="s">
        <v>10</v>
      </c>
      <c r="E29" s="140">
        <f>COUNTIF(S80:S106,1.5)+COUNTIF(T80:T106,1.5)+COUNTIF(U80:U106,1.5)</f>
        <v>0</v>
      </c>
      <c r="F29" s="350">
        <v>41</v>
      </c>
      <c r="G29" s="153">
        <f t="shared" ref="G29:G44" si="3">E29*F29</f>
        <v>0</v>
      </c>
      <c r="H29" s="165">
        <f t="shared" ref="H29:H44" si="4">E29</f>
        <v>0</v>
      </c>
      <c r="J29" s="5"/>
      <c r="N29" s="189">
        <f>E29*225</f>
        <v>0</v>
      </c>
    </row>
    <row r="30" spans="1:17" ht="18" customHeight="1" thickTop="1" thickBot="1" x14ac:dyDescent="0.25">
      <c r="A30" s="22"/>
      <c r="B30" s="33">
        <v>250401</v>
      </c>
      <c r="C30" s="34" t="s">
        <v>32</v>
      </c>
      <c r="D30" s="35" t="s">
        <v>10</v>
      </c>
      <c r="E30" s="140">
        <f>COUNTIF(S80:S106,2)+COUNTIF(T80:T106,2)+COUNTIF(U80:U106,2)</f>
        <v>0</v>
      </c>
      <c r="F30" s="350">
        <v>49</v>
      </c>
      <c r="G30" s="153">
        <f t="shared" si="3"/>
        <v>0</v>
      </c>
      <c r="H30" s="165">
        <f t="shared" si="4"/>
        <v>0</v>
      </c>
      <c r="J30" s="5"/>
      <c r="N30" s="189">
        <f>E30*300</f>
        <v>0</v>
      </c>
    </row>
    <row r="31" spans="1:17" ht="18" customHeight="1" thickTop="1" thickBot="1" x14ac:dyDescent="0.25">
      <c r="A31" s="22"/>
      <c r="B31" s="33">
        <v>250501</v>
      </c>
      <c r="C31" s="34" t="s">
        <v>33</v>
      </c>
      <c r="D31" s="35" t="s">
        <v>10</v>
      </c>
      <c r="E31" s="140">
        <f>COUNTIF(S80:S106,2.5)+COUNTIF(T80:T106,2.5)+COUNTIF(U80:U106,2.5)</f>
        <v>0</v>
      </c>
      <c r="F31" s="350">
        <v>56</v>
      </c>
      <c r="G31" s="153">
        <f t="shared" si="3"/>
        <v>0</v>
      </c>
      <c r="H31" s="165">
        <f t="shared" si="4"/>
        <v>0</v>
      </c>
      <c r="J31" s="5"/>
      <c r="N31" s="189">
        <f>E31*375</f>
        <v>0</v>
      </c>
    </row>
    <row r="32" spans="1:17" ht="18" customHeight="1" thickTop="1" thickBot="1" x14ac:dyDescent="0.25">
      <c r="A32" s="22"/>
      <c r="B32" s="33">
        <v>250601</v>
      </c>
      <c r="C32" s="34" t="s">
        <v>34</v>
      </c>
      <c r="D32" s="35" t="s">
        <v>10</v>
      </c>
      <c r="E32" s="140">
        <f>COUNTIF(S80:S106,3)+COUNTIF(T80:T106,3)+COUNTIF(U80:U106,3)</f>
        <v>0</v>
      </c>
      <c r="F32" s="350">
        <v>64</v>
      </c>
      <c r="G32" s="153">
        <f t="shared" si="3"/>
        <v>0</v>
      </c>
      <c r="H32" s="165">
        <f t="shared" si="4"/>
        <v>0</v>
      </c>
      <c r="J32" s="5"/>
      <c r="N32" s="189">
        <f>E32*450</f>
        <v>0</v>
      </c>
    </row>
    <row r="33" spans="1:17" ht="18" customHeight="1" thickTop="1" thickBot="1" x14ac:dyDescent="0.25">
      <c r="A33" s="22"/>
      <c r="B33" s="33">
        <v>250701</v>
      </c>
      <c r="C33" s="34" t="s">
        <v>35</v>
      </c>
      <c r="D33" s="35" t="s">
        <v>10</v>
      </c>
      <c r="E33" s="140">
        <f>COUNTIF(S80:S106,3.5)+COUNTIF(T80:T106,3.5)+COUNTIF(U80:U106,3.5)</f>
        <v>0</v>
      </c>
      <c r="F33" s="350">
        <v>73</v>
      </c>
      <c r="G33" s="153">
        <f t="shared" si="3"/>
        <v>0</v>
      </c>
      <c r="H33" s="165">
        <f t="shared" si="4"/>
        <v>0</v>
      </c>
      <c r="J33" s="5"/>
      <c r="N33" s="189">
        <f>E33*525</f>
        <v>0</v>
      </c>
    </row>
    <row r="34" spans="1:17" ht="18" customHeight="1" thickTop="1" thickBot="1" x14ac:dyDescent="0.25">
      <c r="A34" s="22"/>
      <c r="B34" s="33">
        <v>250801</v>
      </c>
      <c r="C34" s="34" t="s">
        <v>36</v>
      </c>
      <c r="D34" s="35" t="s">
        <v>10</v>
      </c>
      <c r="E34" s="140">
        <f>COUNTIF(S80:S106,4)+COUNTIF(T80:T106,4)+COUNTIF(U80:U106,4)</f>
        <v>0</v>
      </c>
      <c r="F34" s="350">
        <v>82</v>
      </c>
      <c r="G34" s="153">
        <f t="shared" si="3"/>
        <v>0</v>
      </c>
      <c r="H34" s="165">
        <f t="shared" si="4"/>
        <v>0</v>
      </c>
      <c r="I34" s="5"/>
      <c r="J34" s="5"/>
      <c r="K34" s="5"/>
      <c r="L34" s="5"/>
      <c r="M34" s="5"/>
      <c r="N34" s="189">
        <f>E34*600</f>
        <v>0</v>
      </c>
      <c r="O34" s="5"/>
      <c r="P34" s="5"/>
      <c r="Q34" s="5"/>
    </row>
    <row r="35" spans="1:17" ht="18" customHeight="1" thickTop="1" thickBot="1" x14ac:dyDescent="0.25">
      <c r="A35" s="22"/>
      <c r="B35" s="33">
        <v>250901</v>
      </c>
      <c r="C35" s="34" t="s">
        <v>37</v>
      </c>
      <c r="D35" s="35" t="s">
        <v>10</v>
      </c>
      <c r="E35" s="140">
        <f>COUNTIF(S80:S106,4.5)+COUNTIF(T80:T106,4.5)+COUNTIF(U80:U106,4.5)</f>
        <v>0</v>
      </c>
      <c r="F35" s="350">
        <v>88</v>
      </c>
      <c r="G35" s="153">
        <f t="shared" si="3"/>
        <v>0</v>
      </c>
      <c r="H35" s="165">
        <f t="shared" si="4"/>
        <v>0</v>
      </c>
      <c r="J35" s="5"/>
      <c r="N35" s="189">
        <f>E35*675</f>
        <v>0</v>
      </c>
    </row>
    <row r="36" spans="1:17" ht="18" customHeight="1" thickTop="1" thickBot="1" x14ac:dyDescent="0.25">
      <c r="A36" s="22"/>
      <c r="B36" s="33">
        <v>251001</v>
      </c>
      <c r="C36" s="34" t="s">
        <v>38</v>
      </c>
      <c r="D36" s="35" t="s">
        <v>10</v>
      </c>
      <c r="E36" s="140">
        <f>COUNTIF(S80:S106,5)+COUNTIF(T80:T106,5)+COUNTIF(U80:U106,5)</f>
        <v>0</v>
      </c>
      <c r="F36" s="350">
        <v>94</v>
      </c>
      <c r="G36" s="153">
        <f t="shared" si="3"/>
        <v>0</v>
      </c>
      <c r="H36" s="165">
        <f t="shared" si="4"/>
        <v>0</v>
      </c>
      <c r="J36" s="5"/>
      <c r="N36" s="189">
        <f>E36*750</f>
        <v>0</v>
      </c>
    </row>
    <row r="37" spans="1:17" ht="18" customHeight="1" thickTop="1" thickBot="1" x14ac:dyDescent="0.25">
      <c r="A37" s="22"/>
      <c r="B37" s="33">
        <v>251201</v>
      </c>
      <c r="C37" s="34" t="s">
        <v>39</v>
      </c>
      <c r="D37" s="35" t="s">
        <v>10</v>
      </c>
      <c r="E37" s="140">
        <f>COUNTIF(S80:S106,6)+COUNTIF(T80:T106,6)+COUNTIF(U80:U106,6)</f>
        <v>0</v>
      </c>
      <c r="F37" s="350">
        <v>117</v>
      </c>
      <c r="G37" s="153">
        <f t="shared" si="3"/>
        <v>0</v>
      </c>
      <c r="H37" s="165">
        <f t="shared" si="4"/>
        <v>0</v>
      </c>
      <c r="J37" s="5"/>
      <c r="N37" s="189">
        <f>E37*900</f>
        <v>0</v>
      </c>
    </row>
    <row r="38" spans="1:17" ht="18" customHeight="1" thickTop="1" thickBot="1" x14ac:dyDescent="0.25">
      <c r="A38" s="22"/>
      <c r="B38" s="33">
        <v>251401</v>
      </c>
      <c r="C38" s="34" t="s">
        <v>40</v>
      </c>
      <c r="D38" s="35" t="s">
        <v>10</v>
      </c>
      <c r="E38" s="140">
        <f>COUNTIF(S80:S106,7)+COUNTIF(T80:T106,7)+COUNTIF(U80:U106,7)</f>
        <v>0</v>
      </c>
      <c r="F38" s="350">
        <v>130</v>
      </c>
      <c r="G38" s="153">
        <f t="shared" si="3"/>
        <v>0</v>
      </c>
      <c r="H38" s="165">
        <f t="shared" si="4"/>
        <v>0</v>
      </c>
      <c r="J38" s="5"/>
      <c r="N38" s="189">
        <f>E38*1050</f>
        <v>0</v>
      </c>
    </row>
    <row r="39" spans="1:17" ht="18" customHeight="1" thickTop="1" thickBot="1" x14ac:dyDescent="0.25">
      <c r="A39" s="22"/>
      <c r="B39" s="33">
        <v>251601</v>
      </c>
      <c r="C39" s="34" t="s">
        <v>41</v>
      </c>
      <c r="D39" s="35" t="s">
        <v>10</v>
      </c>
      <c r="E39" s="140">
        <f>COUNTIF(S80:S106,8)+COUNTIF(T80:T106,8)+COUNTIF(U80:U106,8)</f>
        <v>0</v>
      </c>
      <c r="F39" s="350">
        <v>157</v>
      </c>
      <c r="G39" s="153">
        <f t="shared" si="3"/>
        <v>0</v>
      </c>
      <c r="H39" s="165">
        <f t="shared" si="4"/>
        <v>0</v>
      </c>
      <c r="J39" s="5"/>
      <c r="N39" s="189">
        <f>E39*1200</f>
        <v>0</v>
      </c>
    </row>
    <row r="40" spans="1:17" ht="18" customHeight="1" thickTop="1" thickBot="1" x14ac:dyDescent="0.25">
      <c r="A40" s="22"/>
      <c r="B40" s="33">
        <v>251801</v>
      </c>
      <c r="C40" s="34" t="s">
        <v>42</v>
      </c>
      <c r="D40" s="35" t="s">
        <v>10</v>
      </c>
      <c r="E40" s="140">
        <f>COUNTIF(S80:S106,9)+COUNTIF(T80:T106,9)+COUNTIF(U80:U106,9)</f>
        <v>0</v>
      </c>
      <c r="F40" s="350">
        <v>179</v>
      </c>
      <c r="G40" s="153">
        <f t="shared" si="3"/>
        <v>0</v>
      </c>
      <c r="H40" s="165">
        <f t="shared" si="4"/>
        <v>0</v>
      </c>
      <c r="J40" s="5"/>
      <c r="N40" s="189">
        <f>E40*1350</f>
        <v>0</v>
      </c>
    </row>
    <row r="41" spans="1:17" ht="18" customHeight="1" thickTop="1" thickBot="1" x14ac:dyDescent="0.25">
      <c r="A41" s="22"/>
      <c r="B41" s="33">
        <v>252001</v>
      </c>
      <c r="C41" s="34" t="s">
        <v>43</v>
      </c>
      <c r="D41" s="35" t="s">
        <v>10</v>
      </c>
      <c r="E41" s="140">
        <f>COUNTIF(S80:S106,10)+COUNTIF(T80:T106,10)+COUNTIF(U80:U106,10)</f>
        <v>0</v>
      </c>
      <c r="F41" s="350">
        <v>186</v>
      </c>
      <c r="G41" s="153">
        <f t="shared" si="3"/>
        <v>0</v>
      </c>
      <c r="H41" s="165">
        <f t="shared" si="4"/>
        <v>0</v>
      </c>
      <c r="J41" s="5"/>
      <c r="N41" s="189">
        <f>E41*1500</f>
        <v>0</v>
      </c>
    </row>
    <row r="42" spans="1:17" ht="18" customHeight="1" thickTop="1" thickBot="1" x14ac:dyDescent="0.25">
      <c r="A42" s="22"/>
      <c r="B42" s="33">
        <v>252402</v>
      </c>
      <c r="C42" s="34" t="s">
        <v>44</v>
      </c>
      <c r="D42" s="35" t="s">
        <v>10</v>
      </c>
      <c r="E42" s="140">
        <f>COUNTIF(S80:S106,12)+COUNTIF(T80:T106,12)+COUNTIF(U80:U106,12)</f>
        <v>0</v>
      </c>
      <c r="F42" s="350">
        <v>216</v>
      </c>
      <c r="G42" s="153">
        <f t="shared" si="3"/>
        <v>0</v>
      </c>
      <c r="H42" s="165">
        <f t="shared" si="4"/>
        <v>0</v>
      </c>
      <c r="J42" s="5"/>
      <c r="N42" s="189">
        <f>E42*1800</f>
        <v>0</v>
      </c>
    </row>
    <row r="43" spans="1:17" ht="18" customHeight="1" thickTop="1" thickBot="1" x14ac:dyDescent="0.25">
      <c r="A43" s="22"/>
      <c r="B43" s="33">
        <v>253002</v>
      </c>
      <c r="C43" s="34" t="s">
        <v>45</v>
      </c>
      <c r="D43" s="35" t="s">
        <v>10</v>
      </c>
      <c r="E43" s="140">
        <f>COUNTIF(S80:S106,15)+COUNTIF(T80:T106,15)+COUNTIF(U80:U106,15)</f>
        <v>0</v>
      </c>
      <c r="F43" s="350">
        <v>272</v>
      </c>
      <c r="G43" s="153">
        <f t="shared" si="3"/>
        <v>0</v>
      </c>
      <c r="H43" s="165">
        <f t="shared" si="4"/>
        <v>0</v>
      </c>
      <c r="J43" s="5"/>
      <c r="N43" s="189">
        <f>E43*2250</f>
        <v>0</v>
      </c>
    </row>
    <row r="44" spans="1:17" ht="18" customHeight="1" thickTop="1" thickBot="1" x14ac:dyDescent="0.25">
      <c r="A44" s="22"/>
      <c r="B44" s="33">
        <v>254002</v>
      </c>
      <c r="C44" s="34" t="s">
        <v>46</v>
      </c>
      <c r="D44" s="35" t="s">
        <v>10</v>
      </c>
      <c r="E44" s="140">
        <f>COUNTIF(S80:S106,20)+COUNTIF(T80:T106,20)+COUNTIF(U80:U106,20)</f>
        <v>0</v>
      </c>
      <c r="F44" s="350">
        <v>377</v>
      </c>
      <c r="G44" s="153">
        <f t="shared" si="3"/>
        <v>0</v>
      </c>
      <c r="H44" s="165">
        <f t="shared" si="4"/>
        <v>0</v>
      </c>
      <c r="J44" s="5"/>
      <c r="N44" s="189">
        <f>E44*3000</f>
        <v>0</v>
      </c>
    </row>
    <row r="45" spans="1:17" ht="18" customHeight="1" thickTop="1" thickBot="1" x14ac:dyDescent="0.25">
      <c r="A45" s="159" t="s">
        <v>70</v>
      </c>
      <c r="B45" s="162"/>
      <c r="C45" s="162"/>
      <c r="D45" s="162"/>
      <c r="E45" s="162"/>
      <c r="F45" s="162"/>
      <c r="G45" s="13"/>
      <c r="H45" s="48">
        <f>SUM(H46:H56)</f>
        <v>0</v>
      </c>
      <c r="J45" s="5"/>
    </row>
    <row r="46" spans="1:17" ht="30" customHeight="1" thickTop="1" thickBot="1" x14ac:dyDescent="0.25">
      <c r="A46" s="22"/>
      <c r="B46" s="22">
        <v>825400</v>
      </c>
      <c r="C46" s="66" t="s">
        <v>378</v>
      </c>
      <c r="D46" s="22" t="s">
        <v>10</v>
      </c>
      <c r="E46" s="22">
        <f>N107+V107</f>
        <v>0</v>
      </c>
      <c r="F46" s="352">
        <v>102</v>
      </c>
      <c r="G46" s="153">
        <f t="shared" ref="G46:G52" si="5">E46*F46</f>
        <v>0</v>
      </c>
      <c r="H46" s="283">
        <f>E46</f>
        <v>0</v>
      </c>
      <c r="J46" s="5"/>
      <c r="M46" s="310"/>
    </row>
    <row r="47" spans="1:17" ht="30" customHeight="1" thickTop="1" thickBot="1" x14ac:dyDescent="0.25">
      <c r="A47" s="22"/>
      <c r="B47" s="22">
        <v>825880</v>
      </c>
      <c r="C47" s="66" t="s">
        <v>103</v>
      </c>
      <c r="D47" s="22" t="s">
        <v>10</v>
      </c>
      <c r="E47" s="22">
        <f>N107+V107</f>
        <v>0</v>
      </c>
      <c r="F47" s="352">
        <v>92</v>
      </c>
      <c r="G47" s="153">
        <f t="shared" si="5"/>
        <v>0</v>
      </c>
      <c r="H47" s="283">
        <f t="shared" ref="H47:H56" si="6">E47</f>
        <v>0</v>
      </c>
      <c r="J47" s="5"/>
      <c r="M47" s="190"/>
    </row>
    <row r="48" spans="1:17" ht="30" customHeight="1" thickTop="1" thickBot="1" x14ac:dyDescent="0.25">
      <c r="A48" s="22"/>
      <c r="B48" s="22">
        <v>825870</v>
      </c>
      <c r="C48" s="66" t="s">
        <v>366</v>
      </c>
      <c r="D48" s="22" t="s">
        <v>10</v>
      </c>
      <c r="E48" s="22">
        <f>N107+V107</f>
        <v>0</v>
      </c>
      <c r="F48" s="352">
        <v>84</v>
      </c>
      <c r="G48" s="153">
        <f t="shared" si="5"/>
        <v>0</v>
      </c>
      <c r="H48" s="283">
        <f t="shared" si="6"/>
        <v>0</v>
      </c>
      <c r="J48" s="5"/>
      <c r="M48" s="190"/>
    </row>
    <row r="49" spans="1:10" ht="28.5" customHeight="1" thickTop="1" thickBot="1" x14ac:dyDescent="0.25">
      <c r="A49" s="22"/>
      <c r="B49" s="26">
        <v>825840</v>
      </c>
      <c r="C49" s="29" t="s">
        <v>327</v>
      </c>
      <c r="D49" s="30" t="s">
        <v>10</v>
      </c>
      <c r="E49" s="30">
        <f>N107+V107</f>
        <v>0</v>
      </c>
      <c r="F49" s="352">
        <v>45</v>
      </c>
      <c r="G49" s="88">
        <f t="shared" si="5"/>
        <v>0</v>
      </c>
      <c r="H49" s="283">
        <f t="shared" si="6"/>
        <v>0</v>
      </c>
      <c r="J49" s="5"/>
    </row>
    <row r="50" spans="1:10" ht="29.25" customHeight="1" thickTop="1" thickBot="1" x14ac:dyDescent="0.25">
      <c r="A50" s="22"/>
      <c r="B50" s="26">
        <v>827000</v>
      </c>
      <c r="C50" s="27" t="s">
        <v>365</v>
      </c>
      <c r="D50" s="28" t="s">
        <v>10</v>
      </c>
      <c r="E50" s="30">
        <f>N107+V107</f>
        <v>0</v>
      </c>
      <c r="F50" s="352">
        <v>25</v>
      </c>
      <c r="G50" s="88">
        <f t="shared" si="5"/>
        <v>0</v>
      </c>
      <c r="H50" s="283">
        <f t="shared" si="6"/>
        <v>0</v>
      </c>
      <c r="J50" s="5"/>
    </row>
    <row r="51" spans="1:10" ht="27.75" customHeight="1" thickTop="1" thickBot="1" x14ac:dyDescent="0.25">
      <c r="A51" s="22"/>
      <c r="B51" s="26">
        <v>838101</v>
      </c>
      <c r="C51" s="29" t="s">
        <v>59</v>
      </c>
      <c r="D51" s="30" t="s">
        <v>10</v>
      </c>
      <c r="E51" s="30">
        <f>N107+V107</f>
        <v>0</v>
      </c>
      <c r="F51" s="352">
        <v>26</v>
      </c>
      <c r="G51" s="88">
        <f t="shared" si="5"/>
        <v>0</v>
      </c>
      <c r="H51" s="283">
        <f t="shared" si="6"/>
        <v>0</v>
      </c>
      <c r="J51" s="5"/>
    </row>
    <row r="52" spans="1:10" ht="16.5" customHeight="1" thickTop="1" thickBot="1" x14ac:dyDescent="0.25">
      <c r="A52" s="22"/>
      <c r="B52" s="26">
        <v>860199</v>
      </c>
      <c r="C52" s="29" t="s">
        <v>328</v>
      </c>
      <c r="D52" s="30" t="s">
        <v>10</v>
      </c>
      <c r="E52" s="30"/>
      <c r="F52" s="352">
        <v>13</v>
      </c>
      <c r="G52" s="154">
        <f t="shared" si="5"/>
        <v>0</v>
      </c>
      <c r="H52" s="283">
        <f t="shared" si="6"/>
        <v>0</v>
      </c>
      <c r="J52" s="5"/>
    </row>
    <row r="53" spans="1:10" ht="18" customHeight="1" thickTop="1" thickBot="1" x14ac:dyDescent="0.25">
      <c r="A53" s="22"/>
      <c r="B53" s="41">
        <v>720807</v>
      </c>
      <c r="C53" s="47" t="s">
        <v>419</v>
      </c>
      <c r="D53" s="40" t="s">
        <v>57</v>
      </c>
      <c r="E53" s="104">
        <f>CEILING(K107*1.1/12,1)</f>
        <v>0</v>
      </c>
      <c r="F53" s="352">
        <v>7.2</v>
      </c>
      <c r="G53" s="153">
        <f t="shared" ref="G53:G56" si="7">E53*F53</f>
        <v>0</v>
      </c>
      <c r="H53" s="283">
        <f t="shared" si="6"/>
        <v>0</v>
      </c>
      <c r="J53" s="5"/>
    </row>
    <row r="54" spans="1:10" ht="21.75" customHeight="1" thickTop="1" thickBot="1" x14ac:dyDescent="0.25">
      <c r="A54" s="22"/>
      <c r="B54" s="41">
        <v>730300</v>
      </c>
      <c r="C54" s="42" t="s">
        <v>105</v>
      </c>
      <c r="D54" s="43" t="s">
        <v>57</v>
      </c>
      <c r="E54" s="40">
        <f>(ROUNDUP(K107*1.05/6,0))</f>
        <v>0</v>
      </c>
      <c r="F54" s="352">
        <v>28</v>
      </c>
      <c r="G54" s="153">
        <f t="shared" si="7"/>
        <v>0</v>
      </c>
      <c r="H54" s="283">
        <f t="shared" si="6"/>
        <v>0</v>
      </c>
      <c r="J54" s="5"/>
    </row>
    <row r="55" spans="1:10" ht="29.25" customHeight="1" thickTop="1" thickBot="1" x14ac:dyDescent="0.25">
      <c r="A55" s="93"/>
      <c r="B55" s="96">
        <v>630112</v>
      </c>
      <c r="C55" s="95" t="s">
        <v>391</v>
      </c>
      <c r="D55" s="94" t="s">
        <v>10</v>
      </c>
      <c r="E55" s="40">
        <f>(ROUNDUP(Q107*1.05/3,0))</f>
        <v>0</v>
      </c>
      <c r="F55" s="352">
        <v>81</v>
      </c>
      <c r="G55" s="153">
        <f t="shared" si="7"/>
        <v>0</v>
      </c>
      <c r="H55" s="283">
        <f t="shared" si="6"/>
        <v>0</v>
      </c>
      <c r="J55" s="5"/>
    </row>
    <row r="56" spans="1:10" ht="27" customHeight="1" thickTop="1" thickBot="1" x14ac:dyDescent="0.25">
      <c r="A56" s="93"/>
      <c r="B56" s="96">
        <v>630113</v>
      </c>
      <c r="C56" s="95" t="s">
        <v>333</v>
      </c>
      <c r="D56" s="94" t="s">
        <v>10</v>
      </c>
      <c r="E56" s="104">
        <f>(ROUNDUP(Q107*1.05/4.8,0))</f>
        <v>0</v>
      </c>
      <c r="F56" s="352">
        <v>123</v>
      </c>
      <c r="G56" s="153">
        <f t="shared" si="7"/>
        <v>0</v>
      </c>
      <c r="H56" s="283">
        <f t="shared" si="6"/>
        <v>0</v>
      </c>
      <c r="J56" s="5"/>
    </row>
    <row r="57" spans="1:10" ht="18" customHeight="1" thickTop="1" thickBot="1" x14ac:dyDescent="0.25">
      <c r="A57" s="390" t="s">
        <v>16</v>
      </c>
      <c r="B57" s="391"/>
      <c r="C57" s="391"/>
      <c r="D57" s="391"/>
      <c r="E57" s="391"/>
      <c r="F57" s="440"/>
      <c r="G57" s="90">
        <f>SUM(G22:G56)</f>
        <v>0</v>
      </c>
      <c r="H57" s="56" t="s">
        <v>66</v>
      </c>
    </row>
    <row r="58" spans="1:10" ht="18" customHeight="1" thickTop="1" thickBot="1" x14ac:dyDescent="0.25">
      <c r="A58" s="69">
        <v>0.05</v>
      </c>
      <c r="B58" s="391" t="s">
        <v>67</v>
      </c>
      <c r="C58" s="391"/>
      <c r="D58" s="391"/>
      <c r="E58" s="391"/>
      <c r="F58" s="440"/>
      <c r="G58" s="91">
        <f>G57*(1-A58)</f>
        <v>0</v>
      </c>
      <c r="H58" s="56" t="s">
        <v>66</v>
      </c>
    </row>
    <row r="59" spans="1:10" ht="15.6" thickTop="1" thickBot="1" x14ac:dyDescent="0.25">
      <c r="A59" s="53" t="s">
        <v>17</v>
      </c>
      <c r="B59" s="54"/>
      <c r="C59" s="54"/>
      <c r="D59" s="54"/>
      <c r="E59" s="54"/>
      <c r="F59" s="55"/>
      <c r="G59" s="92">
        <f>G58*1.21</f>
        <v>0</v>
      </c>
      <c r="H59" s="56" t="s">
        <v>66</v>
      </c>
    </row>
    <row r="60" spans="1:10" ht="12" thickTop="1" x14ac:dyDescent="0.2"/>
    <row r="61" spans="1:10" ht="27" customHeight="1" x14ac:dyDescent="0.2"/>
    <row r="62" spans="1:10" ht="24.75" customHeight="1" x14ac:dyDescent="0.2">
      <c r="A62" s="389" t="s">
        <v>18</v>
      </c>
      <c r="B62" s="389"/>
      <c r="C62" s="389"/>
      <c r="D62" s="389"/>
      <c r="E62" s="389"/>
      <c r="F62" s="389"/>
      <c r="G62" s="389"/>
    </row>
    <row r="63" spans="1:10" ht="27.75" customHeight="1" x14ac:dyDescent="0.2">
      <c r="A63" s="404" t="s">
        <v>61</v>
      </c>
      <c r="B63" s="404"/>
      <c r="C63" s="404"/>
      <c r="D63" s="404"/>
      <c r="E63" s="404"/>
      <c r="F63" s="404"/>
      <c r="G63" s="404"/>
    </row>
    <row r="64" spans="1:10" ht="17.25" customHeight="1" x14ac:dyDescent="0.2">
      <c r="A64" s="404" t="s">
        <v>337</v>
      </c>
      <c r="B64" s="404"/>
      <c r="C64" s="404"/>
      <c r="D64" s="404"/>
      <c r="E64" s="404"/>
      <c r="F64" s="404"/>
      <c r="G64" s="404"/>
    </row>
    <row r="65" spans="1:26" ht="16.5" customHeight="1" x14ac:dyDescent="0.3">
      <c r="A65" s="406" t="s">
        <v>219</v>
      </c>
      <c r="B65" s="406"/>
      <c r="C65" s="406"/>
      <c r="D65" s="326">
        <f>SUM(N22:N44)/1000</f>
        <v>0</v>
      </c>
      <c r="E65" s="49"/>
      <c r="F65" s="49"/>
      <c r="G65" s="49"/>
    </row>
    <row r="66" spans="1:26" ht="14.25" customHeight="1" x14ac:dyDescent="0.2">
      <c r="A66" s="406"/>
      <c r="B66" s="406"/>
      <c r="C66" s="406"/>
      <c r="D66" s="406"/>
      <c r="E66" s="406"/>
      <c r="F66" s="406"/>
      <c r="G66" s="406"/>
    </row>
    <row r="67" spans="1:26" ht="14.25" customHeight="1" x14ac:dyDescent="0.3">
      <c r="A67" s="101"/>
      <c r="B67" s="49"/>
      <c r="C67" s="49"/>
      <c r="D67" s="49"/>
      <c r="E67" s="49"/>
      <c r="F67" s="49"/>
      <c r="G67" s="49"/>
    </row>
    <row r="68" spans="1:26" ht="14.25" customHeight="1" x14ac:dyDescent="0.2">
      <c r="A68" s="9" t="s">
        <v>19</v>
      </c>
      <c r="B68" s="4"/>
      <c r="C68" s="4"/>
      <c r="D68" s="4"/>
      <c r="E68" s="4"/>
      <c r="F68" s="4"/>
      <c r="G68" s="4"/>
    </row>
    <row r="69" spans="1:26" ht="14.25" customHeight="1" x14ac:dyDescent="0.2">
      <c r="A69" s="389" t="s">
        <v>20</v>
      </c>
      <c r="B69" s="389"/>
      <c r="C69" s="389"/>
      <c r="D69" s="389"/>
      <c r="E69" s="389"/>
      <c r="F69" s="389"/>
      <c r="G69" s="389"/>
    </row>
    <row r="70" spans="1:26" ht="14.25" customHeight="1" x14ac:dyDescent="0.2">
      <c r="A70" s="389" t="s">
        <v>21</v>
      </c>
      <c r="B70" s="389"/>
      <c r="C70" s="389"/>
      <c r="D70" s="389"/>
      <c r="E70" s="389"/>
      <c r="F70" s="389"/>
      <c r="G70" s="389"/>
    </row>
    <row r="71" spans="1:26" ht="14.25" customHeight="1" x14ac:dyDescent="0.2">
      <c r="A71" s="389" t="s">
        <v>109</v>
      </c>
      <c r="B71" s="389"/>
      <c r="C71" s="389"/>
      <c r="D71" s="389"/>
      <c r="E71" s="389"/>
      <c r="F71" s="389"/>
      <c r="G71" s="389"/>
    </row>
    <row r="72" spans="1:26" ht="14.25" customHeight="1" x14ac:dyDescent="0.2"/>
    <row r="73" spans="1:26" ht="12.75" customHeight="1" x14ac:dyDescent="0.2">
      <c r="B73" s="1" t="s">
        <v>11</v>
      </c>
      <c r="C73" s="2"/>
      <c r="Z73" s="6" t="s">
        <v>88</v>
      </c>
    </row>
    <row r="74" spans="1:26" ht="14.4" x14ac:dyDescent="0.2">
      <c r="B74" s="373"/>
      <c r="C74" s="374"/>
    </row>
    <row r="75" spans="1:26" ht="14.4" x14ac:dyDescent="0.2">
      <c r="B75" s="373"/>
      <c r="C75" s="374"/>
    </row>
    <row r="76" spans="1:26" ht="14.4" x14ac:dyDescent="0.3">
      <c r="B76" s="418"/>
      <c r="C76" s="409"/>
    </row>
    <row r="77" spans="1:26" ht="15" thickBot="1" x14ac:dyDescent="0.35">
      <c r="B77" s="418" t="s">
        <v>12</v>
      </c>
      <c r="C77" s="409"/>
    </row>
    <row r="78" spans="1:26" ht="15.6" thickTop="1" thickBot="1" x14ac:dyDescent="0.35">
      <c r="B78" s="418"/>
      <c r="C78" s="409"/>
      <c r="J78" s="441" t="s">
        <v>110</v>
      </c>
      <c r="K78" s="378"/>
      <c r="L78" s="378"/>
      <c r="M78" s="378"/>
      <c r="N78" s="379"/>
      <c r="P78" s="412" t="s">
        <v>180</v>
      </c>
      <c r="Q78" s="413"/>
      <c r="R78" s="413"/>
      <c r="S78" s="413"/>
      <c r="T78" s="413"/>
      <c r="U78" s="413"/>
      <c r="V78" s="413"/>
      <c r="W78" s="435"/>
    </row>
    <row r="79" spans="1:26" ht="69.599999999999994" thickTop="1" thickBot="1" x14ac:dyDescent="0.35">
      <c r="B79" s="418"/>
      <c r="C79" s="409"/>
      <c r="J79" s="62" t="s">
        <v>71</v>
      </c>
      <c r="K79" s="62" t="s">
        <v>148</v>
      </c>
      <c r="L79" s="62" t="s">
        <v>344</v>
      </c>
      <c r="M79" s="62" t="s">
        <v>392</v>
      </c>
      <c r="N79" s="70" t="s">
        <v>107</v>
      </c>
      <c r="O79" s="178"/>
      <c r="P79" s="179" t="s">
        <v>71</v>
      </c>
      <c r="Q79" s="179" t="s">
        <v>163</v>
      </c>
      <c r="R79" s="179" t="s">
        <v>175</v>
      </c>
      <c r="S79" s="179" t="s">
        <v>139</v>
      </c>
      <c r="T79" s="179" t="s">
        <v>176</v>
      </c>
      <c r="U79" s="179" t="s">
        <v>177</v>
      </c>
      <c r="V79" s="180" t="s">
        <v>178</v>
      </c>
      <c r="W79" s="179" t="s">
        <v>312</v>
      </c>
    </row>
    <row r="80" spans="1:26" ht="15.9" customHeight="1" thickTop="1" thickBot="1" x14ac:dyDescent="0.35">
      <c r="B80" s="418"/>
      <c r="C80" s="409"/>
      <c r="I80" s="65"/>
      <c r="J80" s="138" t="s">
        <v>125</v>
      </c>
      <c r="K80" s="122"/>
      <c r="L80" s="158" t="str">
        <f>IF(FLOOR(K80 * 0.96,1)=0,"",FLOOR(K80 * 0.96,1))</f>
        <v/>
      </c>
      <c r="M80" s="158" t="str">
        <f>IF(FLOOR(K80 * 0.93,1)=0,"",FLOOR(K80 * 0.93,1))</f>
        <v/>
      </c>
      <c r="N80" s="63" t="str">
        <f>IF(ISNUMBER(L80),1,"")</f>
        <v/>
      </c>
      <c r="O80" s="65"/>
      <c r="P80" s="132" t="s">
        <v>125</v>
      </c>
      <c r="Q80" s="177"/>
      <c r="R80" s="113" t="str">
        <f t="shared" ref="R80:R93" si="8">IF(ISNUMBER(Q80),Q80*135/150,"")</f>
        <v/>
      </c>
      <c r="S80" s="191"/>
      <c r="T80" s="191"/>
      <c r="U80" s="191"/>
      <c r="V80" s="63" t="str">
        <f>IF(OR(ISNUMBER(S80), ISNUMBER(T80), ISNUMBER(U80)), 1, "")</f>
        <v/>
      </c>
      <c r="W80" s="144" t="s">
        <v>164</v>
      </c>
    </row>
    <row r="81" spans="2:23" ht="15.9" customHeight="1" thickTop="1" thickBot="1" x14ac:dyDescent="0.25">
      <c r="B81" s="7"/>
      <c r="I81" s="112"/>
      <c r="J81" s="138" t="s">
        <v>81</v>
      </c>
      <c r="K81" s="122"/>
      <c r="L81" s="158" t="str">
        <f t="shared" ref="L81:L106" si="9">IF(FLOOR(K81 * 0.96,1)=0,"",FLOOR(K81 * 0.96,1))</f>
        <v/>
      </c>
      <c r="M81" s="158" t="str">
        <f t="shared" ref="M81:M106" si="10">IF(FLOOR(K81 * 0.93,1)=0,"",FLOOR(K81 * 0.93,1))</f>
        <v/>
      </c>
      <c r="N81" s="63" t="str">
        <f t="shared" ref="N81:N92" si="11">IF(ISNUMBER(L81),1,"")</f>
        <v/>
      </c>
      <c r="O81" s="112"/>
      <c r="P81" s="132" t="s">
        <v>81</v>
      </c>
      <c r="Q81" s="177"/>
      <c r="R81" s="113" t="str">
        <f t="shared" si="8"/>
        <v/>
      </c>
      <c r="S81" s="192"/>
      <c r="T81" s="192"/>
      <c r="U81" s="192"/>
      <c r="V81" s="63" t="str">
        <f t="shared" ref="V81:V92" si="12">IF(OR(ISNUMBER(S81), ISNUMBER(T81), ISNUMBER(U81)), 1, "")</f>
        <v/>
      </c>
      <c r="W81" s="144" t="s">
        <v>165</v>
      </c>
    </row>
    <row r="82" spans="2:23" ht="15.9" customHeight="1" thickTop="1" thickBot="1" x14ac:dyDescent="0.25">
      <c r="I82" s="112"/>
      <c r="J82" s="138" t="s">
        <v>82</v>
      </c>
      <c r="K82" s="122"/>
      <c r="L82" s="158" t="str">
        <f t="shared" si="9"/>
        <v/>
      </c>
      <c r="M82" s="158" t="str">
        <f t="shared" si="10"/>
        <v/>
      </c>
      <c r="N82" s="63" t="str">
        <f t="shared" si="11"/>
        <v/>
      </c>
      <c r="O82" s="112"/>
      <c r="P82" s="132" t="s">
        <v>82</v>
      </c>
      <c r="Q82" s="177"/>
      <c r="R82" s="113" t="str">
        <f t="shared" si="8"/>
        <v/>
      </c>
      <c r="S82" s="192"/>
      <c r="T82" s="192"/>
      <c r="U82" s="192"/>
      <c r="V82" s="63" t="str">
        <f t="shared" si="12"/>
        <v/>
      </c>
      <c r="W82" s="144" t="s">
        <v>153</v>
      </c>
    </row>
    <row r="83" spans="2:23" ht="15.9" customHeight="1" thickTop="1" thickBot="1" x14ac:dyDescent="0.25">
      <c r="I83" s="112"/>
      <c r="J83" s="138" t="s">
        <v>83</v>
      </c>
      <c r="K83" s="122"/>
      <c r="L83" s="158" t="str">
        <f t="shared" si="9"/>
        <v/>
      </c>
      <c r="M83" s="158" t="str">
        <f t="shared" si="10"/>
        <v/>
      </c>
      <c r="N83" s="63" t="str">
        <f t="shared" si="11"/>
        <v/>
      </c>
      <c r="O83" s="112"/>
      <c r="P83" s="132" t="s">
        <v>83</v>
      </c>
      <c r="Q83" s="177"/>
      <c r="R83" s="113" t="str">
        <f t="shared" si="8"/>
        <v/>
      </c>
      <c r="S83" s="192"/>
      <c r="T83" s="192"/>
      <c r="U83" s="192"/>
      <c r="V83" s="63" t="str">
        <f t="shared" si="12"/>
        <v/>
      </c>
      <c r="W83" s="144" t="s">
        <v>166</v>
      </c>
    </row>
    <row r="84" spans="2:23" ht="15.9" customHeight="1" thickTop="1" thickBot="1" x14ac:dyDescent="0.25">
      <c r="I84" s="112"/>
      <c r="J84" s="138" t="s">
        <v>80</v>
      </c>
      <c r="K84" s="122"/>
      <c r="L84" s="158" t="str">
        <f t="shared" si="9"/>
        <v/>
      </c>
      <c r="M84" s="158" t="str">
        <f t="shared" si="10"/>
        <v/>
      </c>
      <c r="N84" s="63" t="str">
        <f t="shared" si="11"/>
        <v/>
      </c>
      <c r="O84" s="112"/>
      <c r="P84" s="132" t="s">
        <v>80</v>
      </c>
      <c r="Q84" s="177"/>
      <c r="R84" s="113" t="str">
        <f t="shared" si="8"/>
        <v/>
      </c>
      <c r="S84" s="192"/>
      <c r="T84" s="192"/>
      <c r="U84" s="192"/>
      <c r="V84" s="63" t="str">
        <f t="shared" si="12"/>
        <v/>
      </c>
      <c r="W84" s="144" t="s">
        <v>154</v>
      </c>
    </row>
    <row r="85" spans="2:23" ht="15.9" customHeight="1" thickTop="1" thickBot="1" x14ac:dyDescent="0.25">
      <c r="I85" s="112"/>
      <c r="J85" s="139" t="s">
        <v>73</v>
      </c>
      <c r="K85" s="122"/>
      <c r="L85" s="158" t="str">
        <f t="shared" si="9"/>
        <v/>
      </c>
      <c r="M85" s="158" t="str">
        <f t="shared" si="10"/>
        <v/>
      </c>
      <c r="N85" s="63" t="str">
        <f t="shared" si="11"/>
        <v/>
      </c>
      <c r="O85" s="112"/>
      <c r="P85" s="134" t="s">
        <v>73</v>
      </c>
      <c r="Q85" s="177"/>
      <c r="R85" s="113" t="str">
        <f t="shared" si="8"/>
        <v/>
      </c>
      <c r="S85" s="192"/>
      <c r="T85" s="192"/>
      <c r="U85" s="192"/>
      <c r="V85" s="63" t="str">
        <f t="shared" si="12"/>
        <v/>
      </c>
      <c r="W85" s="144" t="s">
        <v>167</v>
      </c>
    </row>
    <row r="86" spans="2:23" ht="15.9" customHeight="1" thickTop="1" thickBot="1" x14ac:dyDescent="0.25">
      <c r="I86" s="112" t="s">
        <v>79</v>
      </c>
      <c r="J86" s="139" t="s">
        <v>74</v>
      </c>
      <c r="K86" s="122"/>
      <c r="L86" s="158" t="str">
        <f t="shared" si="9"/>
        <v/>
      </c>
      <c r="M86" s="158" t="str">
        <f t="shared" si="10"/>
        <v/>
      </c>
      <c r="N86" s="63" t="str">
        <f t="shared" si="11"/>
        <v/>
      </c>
      <c r="O86" s="112" t="s">
        <v>79</v>
      </c>
      <c r="P86" s="134" t="s">
        <v>74</v>
      </c>
      <c r="Q86" s="177"/>
      <c r="R86" s="113" t="str">
        <f t="shared" si="8"/>
        <v/>
      </c>
      <c r="S86" s="192"/>
      <c r="T86" s="192"/>
      <c r="U86" s="192"/>
      <c r="V86" s="63" t="str">
        <f t="shared" si="12"/>
        <v/>
      </c>
      <c r="W86" s="144" t="s">
        <v>168</v>
      </c>
    </row>
    <row r="87" spans="2:23" ht="15.9" customHeight="1" thickTop="1" thickBot="1" x14ac:dyDescent="0.25">
      <c r="I87" s="145">
        <f>SUM(K80:K92)</f>
        <v>0</v>
      </c>
      <c r="J87" s="139" t="s">
        <v>115</v>
      </c>
      <c r="K87" s="122"/>
      <c r="L87" s="158" t="str">
        <f t="shared" si="9"/>
        <v/>
      </c>
      <c r="M87" s="158" t="str">
        <f t="shared" si="10"/>
        <v/>
      </c>
      <c r="N87" s="63" t="str">
        <f t="shared" si="11"/>
        <v/>
      </c>
      <c r="O87" s="145">
        <f>SUM(Q80:Q92)</f>
        <v>0</v>
      </c>
      <c r="P87" s="134" t="s">
        <v>77</v>
      </c>
      <c r="Q87" s="177"/>
      <c r="R87" s="113" t="str">
        <f t="shared" si="8"/>
        <v/>
      </c>
      <c r="S87" s="192"/>
      <c r="T87" s="192"/>
      <c r="U87" s="192"/>
      <c r="V87" s="63" t="str">
        <f t="shared" si="12"/>
        <v/>
      </c>
      <c r="W87" s="144" t="s">
        <v>169</v>
      </c>
    </row>
    <row r="88" spans="2:23" ht="15.9" customHeight="1" thickTop="1" thickBot="1" x14ac:dyDescent="0.25">
      <c r="I88" s="112" t="s">
        <v>129</v>
      </c>
      <c r="J88" s="139" t="s">
        <v>77</v>
      </c>
      <c r="K88" s="122"/>
      <c r="L88" s="158" t="str">
        <f t="shared" si="9"/>
        <v/>
      </c>
      <c r="M88" s="158" t="str">
        <f t="shared" si="10"/>
        <v/>
      </c>
      <c r="N88" s="63" t="str">
        <f t="shared" si="11"/>
        <v/>
      </c>
      <c r="O88" s="112" t="s">
        <v>129</v>
      </c>
      <c r="P88" s="134" t="s">
        <v>77</v>
      </c>
      <c r="Q88" s="177"/>
      <c r="R88" s="113" t="str">
        <f t="shared" si="8"/>
        <v/>
      </c>
      <c r="S88" s="192"/>
      <c r="T88" s="192"/>
      <c r="U88" s="192"/>
      <c r="V88" s="63" t="str">
        <f t="shared" si="12"/>
        <v/>
      </c>
      <c r="W88" s="144" t="s">
        <v>156</v>
      </c>
    </row>
    <row r="89" spans="2:23" ht="15.9" customHeight="1" thickTop="1" thickBot="1" x14ac:dyDescent="0.25">
      <c r="I89" s="133"/>
      <c r="J89" s="139" t="s">
        <v>76</v>
      </c>
      <c r="K89" s="122"/>
      <c r="L89" s="158" t="str">
        <f t="shared" si="9"/>
        <v/>
      </c>
      <c r="M89" s="158" t="str">
        <f t="shared" si="10"/>
        <v/>
      </c>
      <c r="N89" s="63" t="str">
        <f t="shared" si="11"/>
        <v/>
      </c>
      <c r="O89" s="133"/>
      <c r="P89" s="134" t="s">
        <v>76</v>
      </c>
      <c r="Q89" s="177"/>
      <c r="R89" s="113" t="str">
        <f t="shared" si="8"/>
        <v/>
      </c>
      <c r="S89" s="192"/>
      <c r="T89" s="192"/>
      <c r="U89" s="192"/>
      <c r="V89" s="63" t="str">
        <f t="shared" si="12"/>
        <v/>
      </c>
      <c r="W89" s="144" t="s">
        <v>170</v>
      </c>
    </row>
    <row r="90" spans="2:23" ht="15.9" customHeight="1" thickTop="1" thickBot="1" x14ac:dyDescent="0.25">
      <c r="I90" s="133"/>
      <c r="J90" s="209" t="s">
        <v>75</v>
      </c>
      <c r="K90" s="122"/>
      <c r="L90" s="158" t="str">
        <f t="shared" si="9"/>
        <v/>
      </c>
      <c r="M90" s="158" t="str">
        <f t="shared" si="10"/>
        <v/>
      </c>
      <c r="N90" s="63" t="str">
        <f t="shared" si="11"/>
        <v/>
      </c>
      <c r="O90" s="133"/>
      <c r="P90" s="135" t="s">
        <v>75</v>
      </c>
      <c r="Q90" s="177"/>
      <c r="R90" s="113" t="str">
        <f t="shared" si="8"/>
        <v/>
      </c>
      <c r="S90" s="192"/>
      <c r="T90" s="192"/>
      <c r="U90" s="192"/>
      <c r="V90" s="63" t="str">
        <f t="shared" si="12"/>
        <v/>
      </c>
      <c r="W90" s="144" t="s">
        <v>158</v>
      </c>
    </row>
    <row r="91" spans="2:23" ht="15.9" customHeight="1" thickTop="1" thickBot="1" x14ac:dyDescent="0.25">
      <c r="I91" s="133"/>
      <c r="J91" s="209" t="s">
        <v>75</v>
      </c>
      <c r="K91" s="122"/>
      <c r="L91" s="158" t="str">
        <f t="shared" si="9"/>
        <v/>
      </c>
      <c r="M91" s="158" t="str">
        <f t="shared" si="10"/>
        <v/>
      </c>
      <c r="N91" s="63" t="str">
        <f t="shared" si="11"/>
        <v/>
      </c>
      <c r="O91" s="133"/>
      <c r="P91" s="135" t="s">
        <v>75</v>
      </c>
      <c r="Q91" s="177"/>
      <c r="R91" s="113" t="str">
        <f t="shared" si="8"/>
        <v/>
      </c>
      <c r="S91" s="192"/>
      <c r="T91" s="192"/>
      <c r="U91" s="192"/>
      <c r="V91" s="63" t="str">
        <f t="shared" si="12"/>
        <v/>
      </c>
      <c r="W91" s="144" t="s">
        <v>159</v>
      </c>
    </row>
    <row r="92" spans="2:23" ht="15.9" customHeight="1" thickTop="1" thickBot="1" x14ac:dyDescent="0.25">
      <c r="I92" s="136"/>
      <c r="J92" s="134" t="s">
        <v>75</v>
      </c>
      <c r="K92" s="122"/>
      <c r="L92" s="158" t="str">
        <f t="shared" si="9"/>
        <v/>
      </c>
      <c r="M92" s="158" t="str">
        <f t="shared" si="10"/>
        <v/>
      </c>
      <c r="N92" s="63" t="str">
        <f t="shared" si="11"/>
        <v/>
      </c>
      <c r="O92" s="136"/>
      <c r="P92" s="134" t="s">
        <v>75</v>
      </c>
      <c r="Q92" s="224"/>
      <c r="R92" s="113" t="str">
        <f t="shared" si="8"/>
        <v/>
      </c>
      <c r="S92" s="192"/>
      <c r="T92" s="192"/>
      <c r="U92" s="192"/>
      <c r="V92" s="63" t="str">
        <f t="shared" si="12"/>
        <v/>
      </c>
      <c r="W92" s="144" t="s">
        <v>160</v>
      </c>
    </row>
    <row r="93" spans="2:23" ht="15.9" customHeight="1" thickTop="1" thickBot="1" x14ac:dyDescent="0.25">
      <c r="J93" s="100"/>
      <c r="K93" s="131"/>
      <c r="L93" s="158" t="str">
        <f t="shared" si="9"/>
        <v/>
      </c>
      <c r="M93" s="158" t="str">
        <f t="shared" si="10"/>
        <v/>
      </c>
      <c r="N93" s="166"/>
      <c r="P93" s="100"/>
      <c r="Q93" s="131"/>
      <c r="R93" s="223" t="str">
        <f t="shared" si="8"/>
        <v/>
      </c>
      <c r="S93" s="167"/>
      <c r="T93" s="167"/>
      <c r="U93" s="167"/>
      <c r="V93" s="100"/>
      <c r="W93" s="144" t="s">
        <v>171</v>
      </c>
    </row>
    <row r="94" spans="2:23" ht="15.9" customHeight="1" thickTop="1" thickBot="1" x14ac:dyDescent="0.25">
      <c r="I94" s="65"/>
      <c r="J94" s="132" t="s">
        <v>73</v>
      </c>
      <c r="K94" s="122"/>
      <c r="L94" s="158" t="str">
        <f t="shared" si="9"/>
        <v/>
      </c>
      <c r="M94" s="158" t="str">
        <f t="shared" si="10"/>
        <v/>
      </c>
      <c r="N94" s="63" t="str">
        <f>IF(ISNUMBER(L94),1,"")</f>
        <v/>
      </c>
      <c r="O94" s="65"/>
      <c r="P94" s="132" t="s">
        <v>73</v>
      </c>
      <c r="Q94" s="177"/>
      <c r="R94" s="113" t="str">
        <f>IF(ISNUMBER(Q94),Q94*135/150,"")</f>
        <v/>
      </c>
      <c r="S94" s="192"/>
      <c r="T94" s="192"/>
      <c r="U94" s="192"/>
      <c r="V94" s="63" t="str">
        <f>IF(OR(ISNUMBER(S94), ISNUMBER(T94), ISNUMBER(U94)), 1, "")</f>
        <v/>
      </c>
      <c r="W94" s="144" t="s">
        <v>172</v>
      </c>
    </row>
    <row r="95" spans="2:23" ht="15.9" customHeight="1" thickTop="1" thickBot="1" x14ac:dyDescent="0.25">
      <c r="I95" s="112"/>
      <c r="J95" s="138" t="s">
        <v>85</v>
      </c>
      <c r="K95" s="122"/>
      <c r="L95" s="158" t="str">
        <f t="shared" si="9"/>
        <v/>
      </c>
      <c r="M95" s="158" t="str">
        <f t="shared" si="10"/>
        <v/>
      </c>
      <c r="N95" s="63" t="str">
        <f t="shared" ref="N95:N106" si="13">IF(ISNUMBER(L95),1,"")</f>
        <v/>
      </c>
      <c r="O95" s="112"/>
      <c r="P95" s="138" t="s">
        <v>85</v>
      </c>
      <c r="Q95" s="177"/>
      <c r="R95" s="113" t="str">
        <f t="shared" ref="R95:R106" si="14">IF(ISNUMBER(Q95),Q95*135/150,"")</f>
        <v/>
      </c>
      <c r="S95" s="192"/>
      <c r="T95" s="192"/>
      <c r="U95" s="192"/>
      <c r="V95" s="63" t="str">
        <f t="shared" ref="V95:V106" si="15">IF(OR(ISNUMBER(S95), ISNUMBER(T95), ISNUMBER(U95)), 1, "")</f>
        <v/>
      </c>
      <c r="W95" s="144" t="s">
        <v>173</v>
      </c>
    </row>
    <row r="96" spans="2:23" ht="15.9" customHeight="1" thickTop="1" thickBot="1" x14ac:dyDescent="0.25">
      <c r="I96" s="112"/>
      <c r="J96" s="138" t="s">
        <v>86</v>
      </c>
      <c r="K96" s="122"/>
      <c r="L96" s="158" t="str">
        <f t="shared" si="9"/>
        <v/>
      </c>
      <c r="M96" s="158" t="str">
        <f t="shared" si="10"/>
        <v/>
      </c>
      <c r="N96" s="63" t="str">
        <f t="shared" si="13"/>
        <v/>
      </c>
      <c r="O96" s="112"/>
      <c r="P96" s="138" t="s">
        <v>86</v>
      </c>
      <c r="Q96" s="177"/>
      <c r="R96" s="113" t="str">
        <f t="shared" si="14"/>
        <v/>
      </c>
      <c r="S96" s="192"/>
      <c r="T96" s="192"/>
      <c r="U96" s="192"/>
      <c r="V96" s="63" t="str">
        <f t="shared" si="15"/>
        <v/>
      </c>
      <c r="W96" s="144" t="s">
        <v>174</v>
      </c>
    </row>
    <row r="97" spans="9:23" ht="15.9" customHeight="1" thickTop="1" thickBot="1" x14ac:dyDescent="0.25">
      <c r="I97" s="112"/>
      <c r="J97" s="138" t="s">
        <v>75</v>
      </c>
      <c r="K97" s="122"/>
      <c r="L97" s="158" t="str">
        <f t="shared" si="9"/>
        <v/>
      </c>
      <c r="M97" s="158" t="str">
        <f t="shared" si="10"/>
        <v/>
      </c>
      <c r="N97" s="63" t="str">
        <f t="shared" si="13"/>
        <v/>
      </c>
      <c r="O97" s="112"/>
      <c r="P97" s="138" t="s">
        <v>75</v>
      </c>
      <c r="Q97" s="177"/>
      <c r="R97" s="113" t="str">
        <f t="shared" si="14"/>
        <v/>
      </c>
      <c r="S97" s="192"/>
      <c r="T97" s="192"/>
      <c r="U97" s="192"/>
      <c r="V97" s="63" t="str">
        <f t="shared" si="15"/>
        <v/>
      </c>
      <c r="W97" s="120"/>
    </row>
    <row r="98" spans="9:23" ht="15.9" customHeight="1" thickTop="1" thickBot="1" x14ac:dyDescent="0.25">
      <c r="I98" s="112" t="s">
        <v>84</v>
      </c>
      <c r="J98" s="138" t="s">
        <v>75</v>
      </c>
      <c r="K98" s="122"/>
      <c r="L98" s="158" t="str">
        <f t="shared" si="9"/>
        <v/>
      </c>
      <c r="M98" s="158" t="str">
        <f t="shared" si="10"/>
        <v/>
      </c>
      <c r="N98" s="63" t="str">
        <f t="shared" si="13"/>
        <v/>
      </c>
      <c r="O98" s="112" t="s">
        <v>84</v>
      </c>
      <c r="P98" s="138" t="s">
        <v>75</v>
      </c>
      <c r="Q98" s="177"/>
      <c r="R98" s="113" t="str">
        <f t="shared" si="14"/>
        <v/>
      </c>
      <c r="S98" s="192"/>
      <c r="T98" s="192"/>
      <c r="U98" s="192"/>
      <c r="V98" s="63" t="str">
        <f t="shared" si="15"/>
        <v/>
      </c>
      <c r="W98" s="120"/>
    </row>
    <row r="99" spans="9:23" ht="15.9" customHeight="1" thickTop="1" thickBot="1" x14ac:dyDescent="0.25">
      <c r="I99" s="145">
        <f>SUM(K94:K106)</f>
        <v>0</v>
      </c>
      <c r="J99" s="138" t="s">
        <v>75</v>
      </c>
      <c r="K99" s="122"/>
      <c r="L99" s="158" t="str">
        <f t="shared" si="9"/>
        <v/>
      </c>
      <c r="M99" s="158" t="str">
        <f t="shared" si="10"/>
        <v/>
      </c>
      <c r="N99" s="63" t="str">
        <f t="shared" si="13"/>
        <v/>
      </c>
      <c r="O99" s="145">
        <f>SUM(Q94:Q106)</f>
        <v>0</v>
      </c>
      <c r="P99" s="138" t="s">
        <v>75</v>
      </c>
      <c r="Q99" s="177"/>
      <c r="R99" s="113" t="str">
        <f t="shared" si="14"/>
        <v/>
      </c>
      <c r="S99" s="192"/>
      <c r="T99" s="192"/>
      <c r="U99" s="192"/>
      <c r="V99" s="63" t="str">
        <f t="shared" si="15"/>
        <v/>
      </c>
      <c r="W99" s="120"/>
    </row>
    <row r="100" spans="9:23" ht="15.9" customHeight="1" thickTop="1" thickBot="1" x14ac:dyDescent="0.25">
      <c r="I100" s="112" t="s">
        <v>129</v>
      </c>
      <c r="J100" s="138" t="s">
        <v>75</v>
      </c>
      <c r="K100" s="122"/>
      <c r="L100" s="158" t="str">
        <f t="shared" si="9"/>
        <v/>
      </c>
      <c r="M100" s="158" t="str">
        <f t="shared" si="10"/>
        <v/>
      </c>
      <c r="N100" s="63" t="str">
        <f t="shared" si="13"/>
        <v/>
      </c>
      <c r="O100" s="112" t="s">
        <v>129</v>
      </c>
      <c r="P100" s="138" t="s">
        <v>77</v>
      </c>
      <c r="Q100" s="177"/>
      <c r="R100" s="113" t="str">
        <f t="shared" si="14"/>
        <v/>
      </c>
      <c r="S100" s="192"/>
      <c r="T100" s="192"/>
      <c r="U100" s="192"/>
      <c r="V100" s="63" t="str">
        <f t="shared" si="15"/>
        <v/>
      </c>
      <c r="W100" s="120"/>
    </row>
    <row r="101" spans="9:23" ht="15.9" customHeight="1" thickTop="1" thickBot="1" x14ac:dyDescent="0.25">
      <c r="I101" s="133"/>
      <c r="J101" s="138" t="s">
        <v>75</v>
      </c>
      <c r="K101" s="122"/>
      <c r="L101" s="158" t="str">
        <f t="shared" si="9"/>
        <v/>
      </c>
      <c r="M101" s="158" t="str">
        <f t="shared" si="10"/>
        <v/>
      </c>
      <c r="N101" s="63" t="str">
        <f t="shared" si="13"/>
        <v/>
      </c>
      <c r="O101" s="133"/>
      <c r="P101" s="138" t="s">
        <v>77</v>
      </c>
      <c r="Q101" s="177"/>
      <c r="R101" s="113" t="str">
        <f t="shared" si="14"/>
        <v/>
      </c>
      <c r="S101" s="191"/>
      <c r="T101" s="191"/>
      <c r="U101" s="191"/>
      <c r="V101" s="63" t="str">
        <f t="shared" si="15"/>
        <v/>
      </c>
      <c r="W101" s="120"/>
    </row>
    <row r="102" spans="9:23" ht="15.9" customHeight="1" thickTop="1" thickBot="1" x14ac:dyDescent="0.25">
      <c r="I102" s="133"/>
      <c r="J102" s="138" t="s">
        <v>77</v>
      </c>
      <c r="K102" s="122"/>
      <c r="L102" s="158" t="str">
        <f t="shared" si="9"/>
        <v/>
      </c>
      <c r="M102" s="158" t="str">
        <f t="shared" si="10"/>
        <v/>
      </c>
      <c r="N102" s="63" t="str">
        <f t="shared" si="13"/>
        <v/>
      </c>
      <c r="O102" s="133"/>
      <c r="P102" s="138" t="s">
        <v>77</v>
      </c>
      <c r="Q102" s="177"/>
      <c r="R102" s="113" t="str">
        <f t="shared" si="14"/>
        <v/>
      </c>
      <c r="S102" s="191"/>
      <c r="T102" s="191"/>
      <c r="U102" s="191"/>
      <c r="V102" s="63" t="str">
        <f t="shared" si="15"/>
        <v/>
      </c>
      <c r="W102" s="120"/>
    </row>
    <row r="103" spans="9:23" ht="15.9" customHeight="1" thickTop="1" thickBot="1" x14ac:dyDescent="0.25">
      <c r="I103" s="133"/>
      <c r="J103" s="138" t="s">
        <v>73</v>
      </c>
      <c r="K103" s="122"/>
      <c r="L103" s="158" t="str">
        <f t="shared" si="9"/>
        <v/>
      </c>
      <c r="M103" s="158" t="str">
        <f t="shared" si="10"/>
        <v/>
      </c>
      <c r="N103" s="63" t="str">
        <f t="shared" si="13"/>
        <v/>
      </c>
      <c r="O103" s="133"/>
      <c r="P103" s="138" t="s">
        <v>73</v>
      </c>
      <c r="Q103" s="177"/>
      <c r="R103" s="113" t="str">
        <f t="shared" si="14"/>
        <v/>
      </c>
      <c r="S103" s="191"/>
      <c r="T103" s="191"/>
      <c r="U103" s="191"/>
      <c r="V103" s="63" t="str">
        <f t="shared" si="15"/>
        <v/>
      </c>
      <c r="W103" s="120"/>
    </row>
    <row r="104" spans="9:23" ht="15.9" customHeight="1" thickTop="1" thickBot="1" x14ac:dyDescent="0.25">
      <c r="I104" s="133"/>
      <c r="J104" s="139" t="s">
        <v>87</v>
      </c>
      <c r="K104" s="122"/>
      <c r="L104" s="158" t="str">
        <f t="shared" si="9"/>
        <v/>
      </c>
      <c r="M104" s="158" t="str">
        <f t="shared" si="10"/>
        <v/>
      </c>
      <c r="N104" s="63" t="str">
        <f t="shared" si="13"/>
        <v/>
      </c>
      <c r="O104" s="133"/>
      <c r="P104" s="134" t="s">
        <v>87</v>
      </c>
      <c r="Q104" s="224"/>
      <c r="R104" s="113" t="str">
        <f t="shared" si="14"/>
        <v/>
      </c>
      <c r="S104" s="191"/>
      <c r="T104" s="191"/>
      <c r="U104" s="191"/>
      <c r="V104" s="63" t="str">
        <f t="shared" si="15"/>
        <v/>
      </c>
      <c r="W104" s="120"/>
    </row>
    <row r="105" spans="9:23" ht="15.9" customHeight="1" thickTop="1" thickBot="1" x14ac:dyDescent="0.25">
      <c r="I105" s="206"/>
      <c r="J105" s="209" t="s">
        <v>75</v>
      </c>
      <c r="K105" s="122"/>
      <c r="L105" s="158" t="str">
        <f t="shared" si="9"/>
        <v/>
      </c>
      <c r="M105" s="158" t="str">
        <f t="shared" si="10"/>
        <v/>
      </c>
      <c r="N105" s="63" t="str">
        <f t="shared" si="13"/>
        <v/>
      </c>
      <c r="O105" s="133"/>
      <c r="P105" s="135" t="s">
        <v>75</v>
      </c>
      <c r="Q105" s="224"/>
      <c r="R105" s="113" t="str">
        <f t="shared" si="14"/>
        <v/>
      </c>
      <c r="S105" s="192"/>
      <c r="T105" s="192"/>
      <c r="U105" s="192"/>
      <c r="V105" s="63" t="str">
        <f t="shared" si="15"/>
        <v/>
      </c>
    </row>
    <row r="106" spans="9:23" ht="15.9" customHeight="1" thickTop="1" thickBot="1" x14ac:dyDescent="0.25">
      <c r="I106" s="207"/>
      <c r="J106" s="139" t="s">
        <v>75</v>
      </c>
      <c r="K106" s="122"/>
      <c r="L106" s="158" t="str">
        <f t="shared" si="9"/>
        <v/>
      </c>
      <c r="M106" s="158" t="str">
        <f t="shared" si="10"/>
        <v/>
      </c>
      <c r="N106" s="63" t="str">
        <f t="shared" si="13"/>
        <v/>
      </c>
      <c r="O106" s="136"/>
      <c r="P106" s="134" t="s">
        <v>75</v>
      </c>
      <c r="Q106" s="224"/>
      <c r="R106" s="113" t="str">
        <f t="shared" si="14"/>
        <v/>
      </c>
      <c r="S106" s="192"/>
      <c r="T106" s="192"/>
      <c r="U106" s="192"/>
      <c r="V106" s="63" t="str">
        <f t="shared" si="15"/>
        <v/>
      </c>
    </row>
    <row r="107" spans="9:23" ht="15" thickTop="1" thickBot="1" x14ac:dyDescent="0.25">
      <c r="J107" s="212" t="s">
        <v>209</v>
      </c>
      <c r="K107" s="183">
        <f>I87+I99</f>
        <v>0</v>
      </c>
      <c r="L107" s="196">
        <f>SUM(L80:L106)</f>
        <v>0</v>
      </c>
      <c r="M107" s="196">
        <f>SUM(M80:M106)</f>
        <v>0</v>
      </c>
      <c r="N107" s="118">
        <f>SUM(N80:N104)</f>
        <v>0</v>
      </c>
      <c r="P107" s="225" t="s">
        <v>209</v>
      </c>
      <c r="Q107" s="197">
        <f>O87+O99</f>
        <v>0</v>
      </c>
      <c r="R107" s="146"/>
      <c r="S107" s="147"/>
      <c r="T107" s="147"/>
      <c r="U107" s="147"/>
      <c r="V107" s="118">
        <f>SUM(V80:V106)</f>
        <v>0</v>
      </c>
    </row>
    <row r="108" spans="9:23" ht="14.4" thickTop="1" x14ac:dyDescent="0.2">
      <c r="K108" s="99" t="s">
        <v>129</v>
      </c>
      <c r="L108" s="99" t="s">
        <v>129</v>
      </c>
      <c r="M108" s="99" t="s">
        <v>129</v>
      </c>
      <c r="N108" s="99" t="s">
        <v>128</v>
      </c>
      <c r="Q108" s="99" t="s">
        <v>129</v>
      </c>
      <c r="R108" s="99"/>
      <c r="S108" s="99"/>
      <c r="T108" s="99"/>
      <c r="U108" s="99"/>
      <c r="V108" s="99" t="s">
        <v>128</v>
      </c>
    </row>
  </sheetData>
  <autoFilter ref="H20:H59" xr:uid="{00000000-0009-0000-0000-000000000000}"/>
  <mergeCells count="33">
    <mergeCell ref="P78:W78"/>
    <mergeCell ref="J78:N78"/>
    <mergeCell ref="B74:C74"/>
    <mergeCell ref="B78:C78"/>
    <mergeCell ref="B75:C75"/>
    <mergeCell ref="B76:C76"/>
    <mergeCell ref="B77:C77"/>
    <mergeCell ref="A71:G71"/>
    <mergeCell ref="A70:G70"/>
    <mergeCell ref="A69:G69"/>
    <mergeCell ref="A66:G66"/>
    <mergeCell ref="B79:C79"/>
    <mergeCell ref="A57:F57"/>
    <mergeCell ref="A62:G62"/>
    <mergeCell ref="A63:G63"/>
    <mergeCell ref="A64:G64"/>
    <mergeCell ref="A65:C65"/>
    <mergeCell ref="B80:C80"/>
    <mergeCell ref="C1:G1"/>
    <mergeCell ref="A2:C2"/>
    <mergeCell ref="A4:C4"/>
    <mergeCell ref="A5:C5"/>
    <mergeCell ref="A6:C6"/>
    <mergeCell ref="A7:C7"/>
    <mergeCell ref="B58:F58"/>
    <mergeCell ref="A8:C8"/>
    <mergeCell ref="A10:F10"/>
    <mergeCell ref="A11:F11"/>
    <mergeCell ref="A18:G18"/>
    <mergeCell ref="B19:B20"/>
    <mergeCell ref="C19:C20"/>
    <mergeCell ref="D19:D20"/>
    <mergeCell ref="E19:E20"/>
  </mergeCells>
  <phoneticPr fontId="17" type="noConversion"/>
  <hyperlinks>
    <hyperlink ref="B77" r:id="rId1" xr:uid="{F0D2303F-E999-42F8-86ED-0B27D1F5600F}"/>
  </hyperlinks>
  <pageMargins left="0.70866141732283505" right="0.23622047244094499" top="1.14173228346457" bottom="1.0629910323709499" header="0.19684930008748899" footer="0.15748031496063"/>
  <pageSetup paperSize="9" scale="83" orientation="portrait" r:id="rId2"/>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rowBreaks count="1" manualBreakCount="1">
    <brk id="47" max="6" man="1"/>
  </rowBreaks>
  <colBreaks count="1" manualBreakCount="1">
    <brk id="7" max="1048575" man="1"/>
  </colBreaks>
  <drawing r:id="rId3"/>
  <legacyDrawing r:id="rId4"/>
  <legacyDrawingHF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AB44-C118-4C22-8F5F-0F6A44F9DC80}">
  <sheetPr codeName="Foaie7">
    <tabColor rgb="FF0066FF"/>
  </sheetPr>
  <dimension ref="A1:R86"/>
  <sheetViews>
    <sheetView zoomScaleNormal="100" zoomScaleSheetLayoutView="100" workbookViewId="0">
      <selection activeCell="L3" sqref="L3"/>
    </sheetView>
  </sheetViews>
  <sheetFormatPr defaultColWidth="9.109375" defaultRowHeight="11.4" x14ac:dyDescent="0.2"/>
  <cols>
    <col min="1" max="1" width="5.6640625" style="6" customWidth="1"/>
    <col min="2" max="2" width="8.5546875" style="6" customWidth="1"/>
    <col min="3" max="3" width="58.33203125" style="6" customWidth="1"/>
    <col min="4" max="4" width="5.6640625" style="6" customWidth="1"/>
    <col min="5" max="5" width="5.88671875" style="6" customWidth="1"/>
    <col min="6" max="6" width="10.5546875" style="6" customWidth="1"/>
    <col min="7" max="7" width="11.44140625" style="6" customWidth="1"/>
    <col min="8" max="8" width="5.44140625" style="6" customWidth="1"/>
    <col min="9" max="9" width="9.6640625" style="6" customWidth="1"/>
    <col min="10" max="10" width="13.6640625" style="6" customWidth="1"/>
    <col min="11" max="11" width="9.109375" style="6" customWidth="1"/>
    <col min="12" max="12" width="8.88671875" style="6" customWidth="1"/>
    <col min="13" max="13" width="9.6640625" style="6" customWidth="1"/>
    <col min="14" max="14" width="9.109375" style="6" customWidth="1"/>
    <col min="15" max="15" width="8.5546875" style="6" customWidth="1"/>
    <col min="16" max="16" width="9.5546875" style="6" customWidth="1"/>
    <col min="17" max="17" width="5.33203125" style="6" customWidth="1"/>
    <col min="18" max="18" width="25.5546875" style="6" customWidth="1"/>
    <col min="19" max="19" width="9.109375" style="6"/>
    <col min="20" max="20" width="10.44140625" style="6" customWidth="1"/>
    <col min="21" max="16384" width="9.109375" style="6"/>
  </cols>
  <sheetData>
    <row r="1" spans="1:18" ht="130.05000000000001" customHeight="1" x14ac:dyDescent="0.2">
      <c r="C1" s="405" t="s">
        <v>382</v>
      </c>
      <c r="D1" s="405"/>
      <c r="E1" s="405"/>
      <c r="F1" s="405"/>
      <c r="G1" s="405"/>
      <c r="H1" s="10"/>
      <c r="I1" s="10"/>
    </row>
    <row r="2" spans="1:18" ht="14.4" x14ac:dyDescent="0.3">
      <c r="A2" s="408" t="s">
        <v>420</v>
      </c>
      <c r="B2" s="409"/>
      <c r="C2" s="409"/>
    </row>
    <row r="3" spans="1:18" x14ac:dyDescent="0.2">
      <c r="A3" s="2"/>
    </row>
    <row r="4" spans="1:18" ht="15" customHeight="1" x14ac:dyDescent="0.3">
      <c r="A4" s="419" t="s">
        <v>149</v>
      </c>
      <c r="B4" s="409"/>
      <c r="C4" s="409"/>
    </row>
    <row r="5" spans="1:18" ht="15" customHeight="1" x14ac:dyDescent="0.3">
      <c r="A5" s="419" t="s">
        <v>132</v>
      </c>
      <c r="B5" s="409"/>
      <c r="C5" s="409"/>
    </row>
    <row r="6" spans="1:18" ht="15" customHeight="1" x14ac:dyDescent="0.3">
      <c r="A6" s="419" t="s">
        <v>15</v>
      </c>
      <c r="B6" s="409"/>
      <c r="C6" s="409"/>
    </row>
    <row r="7" spans="1:18" ht="15" customHeight="1" x14ac:dyDescent="0.3">
      <c r="A7" s="420" t="s">
        <v>13</v>
      </c>
      <c r="B7" s="421"/>
      <c r="C7" s="421"/>
    </row>
    <row r="8" spans="1:18" ht="15" customHeight="1" x14ac:dyDescent="0.3">
      <c r="A8" s="419" t="s">
        <v>136</v>
      </c>
      <c r="B8" s="409"/>
      <c r="C8" s="409"/>
    </row>
    <row r="10" spans="1:18" ht="34.5" customHeight="1" thickBot="1" x14ac:dyDescent="0.25">
      <c r="A10" s="406" t="s">
        <v>0</v>
      </c>
      <c r="B10" s="406"/>
      <c r="C10" s="406"/>
      <c r="D10" s="406"/>
      <c r="E10" s="406"/>
      <c r="F10" s="406"/>
      <c r="G10" s="12" t="s">
        <v>190</v>
      </c>
      <c r="H10" s="4"/>
      <c r="I10" s="5"/>
      <c r="J10" s="5"/>
      <c r="K10" s="5"/>
      <c r="L10" s="5"/>
      <c r="M10" s="5"/>
      <c r="N10" s="5"/>
      <c r="O10" s="5"/>
      <c r="P10" s="5"/>
    </row>
    <row r="11" spans="1:18" ht="29.25" customHeight="1" thickTop="1" thickBot="1" x14ac:dyDescent="0.25">
      <c r="A11" s="406" t="s">
        <v>62</v>
      </c>
      <c r="B11" s="406"/>
      <c r="C11" s="406"/>
      <c r="D11" s="406"/>
      <c r="E11" s="406"/>
      <c r="F11" s="406"/>
      <c r="G11" s="114">
        <f>K85</f>
        <v>37</v>
      </c>
      <c r="H11" s="4"/>
      <c r="I11" s="5"/>
      <c r="J11" s="5"/>
      <c r="K11" s="5"/>
      <c r="L11" s="5"/>
      <c r="M11" s="5"/>
      <c r="N11" s="5"/>
      <c r="O11" s="5"/>
      <c r="P11" s="5"/>
    </row>
    <row r="12" spans="1:18" ht="39" customHeight="1" thickTop="1" x14ac:dyDescent="0.2">
      <c r="A12" s="4"/>
      <c r="B12" s="4"/>
      <c r="C12" s="4"/>
      <c r="D12" s="4"/>
      <c r="E12" s="4"/>
      <c r="F12" s="4"/>
      <c r="G12" s="4"/>
      <c r="H12" s="4"/>
      <c r="I12" s="165"/>
      <c r="J12" s="5"/>
      <c r="K12" s="5"/>
      <c r="L12" s="5"/>
      <c r="M12" s="5"/>
      <c r="N12" s="5"/>
      <c r="O12" s="165"/>
      <c r="P12" s="5"/>
    </row>
    <row r="13" spans="1:18" ht="39" customHeight="1" x14ac:dyDescent="0.2">
      <c r="A13" s="4"/>
      <c r="B13" s="4"/>
      <c r="C13" s="4"/>
      <c r="D13" s="4"/>
      <c r="E13" s="4"/>
      <c r="F13" s="4"/>
      <c r="G13" s="4"/>
      <c r="H13" s="4"/>
      <c r="I13" s="12" t="s">
        <v>394</v>
      </c>
      <c r="J13" s="217" t="s">
        <v>101</v>
      </c>
      <c r="K13" s="217"/>
      <c r="L13" s="12" t="s">
        <v>220</v>
      </c>
      <c r="M13" s="5"/>
      <c r="N13" s="12" t="s">
        <v>100</v>
      </c>
      <c r="O13" s="4"/>
      <c r="P13" s="3" t="s">
        <v>329</v>
      </c>
      <c r="R13" s="1" t="s">
        <v>102</v>
      </c>
    </row>
    <row r="14" spans="1:18" ht="18" customHeight="1" x14ac:dyDescent="0.2">
      <c r="A14" s="4"/>
      <c r="B14" s="4"/>
      <c r="C14" s="4"/>
      <c r="D14" s="4"/>
      <c r="E14" s="12"/>
      <c r="F14" s="12" t="s">
        <v>331</v>
      </c>
      <c r="G14" s="3"/>
      <c r="H14" s="4"/>
      <c r="I14" s="5"/>
      <c r="J14" s="5"/>
      <c r="K14" s="5"/>
      <c r="L14" s="5"/>
      <c r="M14" s="3"/>
      <c r="N14" s="5"/>
      <c r="O14" s="5"/>
      <c r="P14" s="5"/>
    </row>
    <row r="15" spans="1:18" ht="21.75" customHeight="1" thickBot="1" x14ac:dyDescent="0.45">
      <c r="A15" s="410" t="s">
        <v>60</v>
      </c>
      <c r="B15" s="411"/>
      <c r="C15" s="411"/>
      <c r="D15" s="411"/>
      <c r="E15" s="411"/>
      <c r="F15" s="411"/>
      <c r="G15" s="411"/>
      <c r="H15" s="5"/>
      <c r="I15" s="5"/>
      <c r="J15" s="5"/>
      <c r="K15" s="5"/>
      <c r="L15" s="5"/>
      <c r="M15" s="5"/>
      <c r="N15" s="5"/>
      <c r="O15" s="5"/>
      <c r="P15" s="5"/>
    </row>
    <row r="16" spans="1:18" ht="27" customHeight="1" thickTop="1" thickBot="1" x14ac:dyDescent="0.25">
      <c r="A16" s="32" t="s">
        <v>1</v>
      </c>
      <c r="B16" s="407" t="s">
        <v>3</v>
      </c>
      <c r="C16" s="407" t="s">
        <v>4</v>
      </c>
      <c r="D16" s="407" t="s">
        <v>5</v>
      </c>
      <c r="E16" s="407" t="s">
        <v>6</v>
      </c>
      <c r="F16" s="32" t="s">
        <v>7</v>
      </c>
      <c r="G16" s="32" t="s">
        <v>9</v>
      </c>
      <c r="H16" s="5"/>
      <c r="P16" s="5"/>
    </row>
    <row r="17" spans="1:16" ht="27" customHeight="1" thickTop="1" thickBot="1" x14ac:dyDescent="0.25">
      <c r="A17" s="32" t="s">
        <v>2</v>
      </c>
      <c r="B17" s="407"/>
      <c r="C17" s="407"/>
      <c r="D17" s="407"/>
      <c r="E17" s="407"/>
      <c r="F17" s="32" t="s">
        <v>8</v>
      </c>
      <c r="G17" s="32" t="s">
        <v>8</v>
      </c>
      <c r="H17" s="281"/>
      <c r="P17" s="5"/>
    </row>
    <row r="18" spans="1:16" ht="18" customHeight="1" thickTop="1" thickBot="1" x14ac:dyDescent="0.25">
      <c r="A18" s="401" t="s">
        <v>98</v>
      </c>
      <c r="B18" s="442"/>
      <c r="C18" s="442"/>
      <c r="D18" s="442"/>
      <c r="E18" s="442"/>
      <c r="F18" s="442"/>
      <c r="G18" s="15"/>
      <c r="H18" s="48">
        <f>H19</f>
        <v>8</v>
      </c>
      <c r="P18" s="5"/>
    </row>
    <row r="19" spans="1:16" ht="29.25" customHeight="1" thickTop="1" thickBot="1" x14ac:dyDescent="0.25">
      <c r="A19" s="22"/>
      <c r="B19" s="23">
        <v>430010</v>
      </c>
      <c r="C19" s="83" t="s">
        <v>99</v>
      </c>
      <c r="D19" s="23" t="s">
        <v>10</v>
      </c>
      <c r="E19" s="23">
        <f>ROUNDUP(K85*1.05/5,0)</f>
        <v>8</v>
      </c>
      <c r="F19" s="352">
        <v>151</v>
      </c>
      <c r="G19" s="153">
        <f t="shared" ref="G19" si="0">E19*F19</f>
        <v>1208</v>
      </c>
      <c r="H19" s="48">
        <f t="shared" ref="H19" si="1">E19</f>
        <v>8</v>
      </c>
      <c r="M19" s="353" t="s">
        <v>64</v>
      </c>
      <c r="P19" s="5"/>
    </row>
    <row r="20" spans="1:16" ht="18" customHeight="1" thickTop="1" thickBot="1" x14ac:dyDescent="0.25">
      <c r="A20" s="22"/>
      <c r="B20" s="23">
        <v>430030</v>
      </c>
      <c r="C20" s="83" t="s">
        <v>393</v>
      </c>
      <c r="D20" s="23" t="s">
        <v>10</v>
      </c>
      <c r="E20" s="23">
        <f>ROUNDUP(K85*1.01/2.8,0)</f>
        <v>14</v>
      </c>
      <c r="F20" s="352">
        <v>85</v>
      </c>
      <c r="G20" s="153">
        <f t="shared" ref="G20" si="2">E20*F20</f>
        <v>1190</v>
      </c>
      <c r="H20" s="48">
        <f t="shared" ref="H20" si="3">E20</f>
        <v>14</v>
      </c>
      <c r="M20" s="353" t="s">
        <v>64</v>
      </c>
      <c r="P20" s="5"/>
    </row>
    <row r="21" spans="1:16" ht="18" customHeight="1" thickTop="1" thickBot="1" x14ac:dyDescent="0.25">
      <c r="A21" s="292" t="s">
        <v>296</v>
      </c>
      <c r="B21" s="294"/>
      <c r="C21" s="294"/>
      <c r="D21" s="291"/>
      <c r="E21" s="291"/>
      <c r="F21" s="291"/>
      <c r="G21" s="15"/>
      <c r="H21" s="48">
        <f>SUM(H22:H28)</f>
        <v>0</v>
      </c>
      <c r="M21" s="142" t="s">
        <v>63</v>
      </c>
      <c r="P21" s="5"/>
    </row>
    <row r="22" spans="1:16" ht="18" customHeight="1" thickTop="1" thickBot="1" x14ac:dyDescent="0.25">
      <c r="A22" s="84"/>
      <c r="B22" s="86">
        <v>131030</v>
      </c>
      <c r="C22" s="52" t="s">
        <v>191</v>
      </c>
      <c r="D22" s="85" t="s">
        <v>10</v>
      </c>
      <c r="E22" s="77">
        <f>COUNTIF(M58:M84,30)+COUNTIF(N58:N84,30)+COUNTIF(O58:O84,30)</f>
        <v>0</v>
      </c>
      <c r="F22" s="352">
        <v>62</v>
      </c>
      <c r="G22" s="153">
        <f t="shared" ref="G22" si="4">E22*F22</f>
        <v>0</v>
      </c>
      <c r="H22" s="48">
        <f t="shared" ref="H22:H28" si="5">E22</f>
        <v>0</v>
      </c>
      <c r="M22" s="142">
        <f>E22*300</f>
        <v>0</v>
      </c>
      <c r="P22" s="5"/>
    </row>
    <row r="23" spans="1:16" ht="18" customHeight="1" thickTop="1" thickBot="1" x14ac:dyDescent="0.25">
      <c r="A23" s="84"/>
      <c r="B23" s="338">
        <v>131050</v>
      </c>
      <c r="C23" s="52" t="s">
        <v>196</v>
      </c>
      <c r="D23" s="85" t="s">
        <v>10</v>
      </c>
      <c r="E23" s="77">
        <f>COUNTIF(M58:M84,50)+COUNTIF(N58:N84,50)+COUNTIF(O58:O84,50)</f>
        <v>0</v>
      </c>
      <c r="F23" s="352">
        <v>92</v>
      </c>
      <c r="G23" s="153">
        <f t="shared" ref="G23:G28" si="6">E23*F23</f>
        <v>0</v>
      </c>
      <c r="H23" s="48">
        <f t="shared" si="5"/>
        <v>0</v>
      </c>
      <c r="M23" s="142">
        <f>E23*500</f>
        <v>0</v>
      </c>
      <c r="P23" s="5"/>
    </row>
    <row r="24" spans="1:16" ht="18" customHeight="1" thickTop="1" thickBot="1" x14ac:dyDescent="0.25">
      <c r="A24" s="84"/>
      <c r="B24" s="86">
        <v>131080</v>
      </c>
      <c r="C24" s="52" t="s">
        <v>195</v>
      </c>
      <c r="D24" s="85" t="s">
        <v>10</v>
      </c>
      <c r="E24" s="77">
        <f>COUNTIF(M58:M84,80)+COUNTIF(N58:N84,80)+COUNTIF(O58:O84,80)</f>
        <v>0</v>
      </c>
      <c r="F24" s="352">
        <v>147</v>
      </c>
      <c r="G24" s="153">
        <f t="shared" ref="G24" si="7">E24*F24</f>
        <v>0</v>
      </c>
      <c r="H24" s="48">
        <f t="shared" si="5"/>
        <v>0</v>
      </c>
      <c r="M24" s="142">
        <f>E24*800</f>
        <v>0</v>
      </c>
      <c r="P24" s="5"/>
    </row>
    <row r="25" spans="1:16" ht="18" customHeight="1" thickTop="1" thickBot="1" x14ac:dyDescent="0.25">
      <c r="A25" s="84"/>
      <c r="B25" s="86">
        <v>131100</v>
      </c>
      <c r="C25" s="52" t="s">
        <v>381</v>
      </c>
      <c r="D25" s="85" t="s">
        <v>10</v>
      </c>
      <c r="E25" s="77">
        <f>COUNTIF(M58:M84,100)+COUNTIF(N58:N84,100)+COUNTIF(O58:O84,100)</f>
        <v>0</v>
      </c>
      <c r="F25" s="352">
        <v>190</v>
      </c>
      <c r="G25" s="153">
        <f t="shared" ref="G25:G26" si="8">E25*F25</f>
        <v>0</v>
      </c>
      <c r="H25" s="48">
        <f t="shared" si="5"/>
        <v>0</v>
      </c>
      <c r="M25" s="142">
        <f>E25*1000</f>
        <v>0</v>
      </c>
      <c r="P25" s="5"/>
    </row>
    <row r="26" spans="1:16" ht="18" customHeight="1" thickTop="1" thickBot="1" x14ac:dyDescent="0.25">
      <c r="A26" s="84"/>
      <c r="B26" s="86">
        <v>131120</v>
      </c>
      <c r="C26" s="52" t="s">
        <v>193</v>
      </c>
      <c r="D26" s="85" t="s">
        <v>10</v>
      </c>
      <c r="E26" s="77">
        <f>COUNTIF(M58:M84,120)+COUNTIF(N58:N84,120)+COUNTIF(O58:O84,120)</f>
        <v>0</v>
      </c>
      <c r="F26" s="352">
        <v>216</v>
      </c>
      <c r="G26" s="153">
        <f t="shared" si="8"/>
        <v>0</v>
      </c>
      <c r="H26" s="48">
        <f t="shared" si="5"/>
        <v>0</v>
      </c>
      <c r="M26" s="142">
        <f>E26*1200</f>
        <v>0</v>
      </c>
      <c r="P26" s="5"/>
    </row>
    <row r="27" spans="1:16" ht="18" customHeight="1" thickTop="1" thickBot="1" x14ac:dyDescent="0.25">
      <c r="A27" s="84"/>
      <c r="B27" s="86">
        <v>131150</v>
      </c>
      <c r="C27" s="82" t="s">
        <v>192</v>
      </c>
      <c r="D27" s="85" t="s">
        <v>10</v>
      </c>
      <c r="E27" s="77">
        <f>COUNTIF(M58:M84,150)+COUNTIF(N58:N84,150)+COUNTIF(O58:O84,150)</f>
        <v>0</v>
      </c>
      <c r="F27" s="352">
        <v>250</v>
      </c>
      <c r="G27" s="153">
        <f t="shared" si="6"/>
        <v>0</v>
      </c>
      <c r="H27" s="48">
        <f t="shared" si="5"/>
        <v>0</v>
      </c>
      <c r="M27" s="142">
        <f>E27*1500</f>
        <v>0</v>
      </c>
      <c r="P27" s="5"/>
    </row>
    <row r="28" spans="1:16" ht="18" customHeight="1" thickTop="1" thickBot="1" x14ac:dyDescent="0.25">
      <c r="A28" s="84"/>
      <c r="B28" s="338">
        <v>131190</v>
      </c>
      <c r="C28" s="82" t="s">
        <v>197</v>
      </c>
      <c r="D28" s="85" t="s">
        <v>10</v>
      </c>
      <c r="E28" s="77">
        <f>COUNTIF(M58:M84,190)+COUNTIF(N58:N84,190)+COUNTIF(O58:O84,190)</f>
        <v>0</v>
      </c>
      <c r="F28" s="352">
        <v>298</v>
      </c>
      <c r="G28" s="153">
        <f t="shared" si="6"/>
        <v>0</v>
      </c>
      <c r="H28" s="48">
        <f t="shared" si="5"/>
        <v>0</v>
      </c>
      <c r="M28" s="142">
        <f>E28*1900</f>
        <v>0</v>
      </c>
      <c r="P28" s="5"/>
    </row>
    <row r="29" spans="1:16" ht="18" customHeight="1" thickTop="1" thickBot="1" x14ac:dyDescent="0.25">
      <c r="A29" s="159" t="s">
        <v>68</v>
      </c>
      <c r="B29" s="351"/>
      <c r="C29" s="351"/>
      <c r="D29" s="357"/>
      <c r="E29" s="357"/>
      <c r="F29" s="357"/>
      <c r="G29" s="16"/>
      <c r="H29" s="48">
        <f>SUM(H30:H36)</f>
        <v>0</v>
      </c>
      <c r="M29" s="12"/>
      <c r="P29" s="5"/>
    </row>
    <row r="30" spans="1:16" ht="30" customHeight="1" thickTop="1" thickBot="1" x14ac:dyDescent="0.25">
      <c r="A30" s="22"/>
      <c r="B30" s="22">
        <v>825400</v>
      </c>
      <c r="C30" s="66" t="s">
        <v>378</v>
      </c>
      <c r="D30" s="22" t="s">
        <v>10</v>
      </c>
      <c r="E30" s="22">
        <f>P85</f>
        <v>0</v>
      </c>
      <c r="F30" s="346">
        <v>102</v>
      </c>
      <c r="G30" s="153">
        <f t="shared" ref="G30:G36" si="9">E30*F30</f>
        <v>0</v>
      </c>
      <c r="H30" s="283">
        <f>E30</f>
        <v>0</v>
      </c>
      <c r="M30" s="310"/>
    </row>
    <row r="31" spans="1:16" ht="30" customHeight="1" thickTop="1" thickBot="1" x14ac:dyDescent="0.25">
      <c r="A31" s="22"/>
      <c r="B31" s="22">
        <v>825880</v>
      </c>
      <c r="C31" s="66" t="s">
        <v>103</v>
      </c>
      <c r="D31" s="22" t="s">
        <v>10</v>
      </c>
      <c r="E31" s="22">
        <f>P85</f>
        <v>0</v>
      </c>
      <c r="F31" s="347">
        <v>92</v>
      </c>
      <c r="G31" s="153">
        <f t="shared" si="9"/>
        <v>0</v>
      </c>
      <c r="H31" s="283">
        <f t="shared" ref="H31:H36" si="10">E31</f>
        <v>0</v>
      </c>
      <c r="M31" s="190"/>
    </row>
    <row r="32" spans="1:16" ht="30" customHeight="1" thickTop="1" thickBot="1" x14ac:dyDescent="0.25">
      <c r="A32" s="22"/>
      <c r="B32" s="22">
        <v>825870</v>
      </c>
      <c r="C32" s="66" t="s">
        <v>366</v>
      </c>
      <c r="D32" s="22" t="s">
        <v>10</v>
      </c>
      <c r="E32" s="22">
        <f>P85</f>
        <v>0</v>
      </c>
      <c r="F32" s="346">
        <v>84</v>
      </c>
      <c r="G32" s="153">
        <f t="shared" si="9"/>
        <v>0</v>
      </c>
      <c r="H32" s="283">
        <f t="shared" si="10"/>
        <v>0</v>
      </c>
      <c r="M32" s="190"/>
    </row>
    <row r="33" spans="1:9" ht="28.5" customHeight="1" thickTop="1" thickBot="1" x14ac:dyDescent="0.25">
      <c r="A33" s="22"/>
      <c r="B33" s="26">
        <v>825840</v>
      </c>
      <c r="C33" s="29" t="s">
        <v>327</v>
      </c>
      <c r="D33" s="30" t="s">
        <v>10</v>
      </c>
      <c r="E33" s="30">
        <f>P85</f>
        <v>0</v>
      </c>
      <c r="F33" s="348">
        <v>45</v>
      </c>
      <c r="G33" s="88">
        <f t="shared" si="9"/>
        <v>0</v>
      </c>
      <c r="H33" s="283">
        <f t="shared" si="10"/>
        <v>0</v>
      </c>
    </row>
    <row r="34" spans="1:9" ht="29.25" customHeight="1" thickTop="1" thickBot="1" x14ac:dyDescent="0.25">
      <c r="A34" s="22"/>
      <c r="B34" s="26">
        <v>827000</v>
      </c>
      <c r="C34" s="27" t="s">
        <v>365</v>
      </c>
      <c r="D34" s="28" t="s">
        <v>10</v>
      </c>
      <c r="E34" s="30">
        <f>P85</f>
        <v>0</v>
      </c>
      <c r="F34" s="348">
        <v>25</v>
      </c>
      <c r="G34" s="88">
        <f t="shared" si="9"/>
        <v>0</v>
      </c>
      <c r="H34" s="283">
        <f t="shared" si="10"/>
        <v>0</v>
      </c>
    </row>
    <row r="35" spans="1:9" ht="27.75" customHeight="1" thickTop="1" thickBot="1" x14ac:dyDescent="0.25">
      <c r="A35" s="22"/>
      <c r="B35" s="26">
        <v>838101</v>
      </c>
      <c r="C35" s="29" t="s">
        <v>59</v>
      </c>
      <c r="D35" s="30" t="s">
        <v>10</v>
      </c>
      <c r="E35" s="30">
        <f>P85</f>
        <v>0</v>
      </c>
      <c r="F35" s="348">
        <v>26</v>
      </c>
      <c r="G35" s="88">
        <f t="shared" si="9"/>
        <v>0</v>
      </c>
      <c r="H35" s="283">
        <f t="shared" si="10"/>
        <v>0</v>
      </c>
    </row>
    <row r="36" spans="1:9" ht="16.5" customHeight="1" thickTop="1" thickBot="1" x14ac:dyDescent="0.25">
      <c r="A36" s="22"/>
      <c r="B36" s="26">
        <v>860199</v>
      </c>
      <c r="C36" s="29" t="s">
        <v>328</v>
      </c>
      <c r="D36" s="30" t="s">
        <v>10</v>
      </c>
      <c r="E36" s="30"/>
      <c r="F36" s="348">
        <v>13</v>
      </c>
      <c r="G36" s="154">
        <f t="shared" si="9"/>
        <v>0</v>
      </c>
      <c r="H36" s="283">
        <f t="shared" si="10"/>
        <v>0</v>
      </c>
    </row>
    <row r="37" spans="1:9" ht="18" customHeight="1" thickTop="1" thickBot="1" x14ac:dyDescent="0.25">
      <c r="A37" s="390" t="s">
        <v>16</v>
      </c>
      <c r="B37" s="443"/>
      <c r="C37" s="443"/>
      <c r="D37" s="443"/>
      <c r="E37" s="443"/>
      <c r="F37" s="443"/>
      <c r="G37" s="88">
        <f>SUM(G19:G36)</f>
        <v>2398</v>
      </c>
      <c r="H37" s="56"/>
    </row>
    <row r="38" spans="1:9" ht="18" customHeight="1" thickTop="1" thickBot="1" x14ac:dyDescent="0.25">
      <c r="A38" s="67">
        <v>0.05</v>
      </c>
      <c r="B38" s="391" t="s">
        <v>67</v>
      </c>
      <c r="C38" s="393"/>
      <c r="D38" s="393"/>
      <c r="E38" s="393"/>
      <c r="F38" s="393"/>
      <c r="G38" s="89">
        <f>G37*(1-A38)</f>
        <v>2278.1</v>
      </c>
      <c r="H38" s="56"/>
    </row>
    <row r="39" spans="1:9" ht="18" customHeight="1" thickTop="1" thickBot="1" x14ac:dyDescent="0.25">
      <c r="A39" s="14" t="s">
        <v>17</v>
      </c>
      <c r="B39" s="17"/>
      <c r="C39" s="17"/>
      <c r="D39" s="17"/>
      <c r="E39" s="17"/>
      <c r="F39" s="17"/>
      <c r="G39" s="89">
        <f>G38*1.21</f>
        <v>2756.5009999999997</v>
      </c>
      <c r="H39" s="56"/>
    </row>
    <row r="40" spans="1:9" ht="18" customHeight="1" thickTop="1" x14ac:dyDescent="0.2">
      <c r="A40" s="2"/>
      <c r="B40" s="105"/>
      <c r="C40" s="105"/>
      <c r="D40" s="105"/>
      <c r="E40" s="105"/>
      <c r="F40" s="105"/>
      <c r="G40" s="51"/>
      <c r="H40" s="56"/>
    </row>
    <row r="41" spans="1:9" ht="15" customHeight="1" x14ac:dyDescent="0.2">
      <c r="A41" s="2"/>
      <c r="B41" s="105"/>
      <c r="C41" s="105"/>
      <c r="D41" s="105"/>
      <c r="E41" s="105"/>
      <c r="F41" s="105"/>
      <c r="G41" s="51"/>
      <c r="H41" s="56"/>
      <c r="I41" s="56"/>
    </row>
    <row r="42" spans="1:9" ht="29.25" customHeight="1" x14ac:dyDescent="0.2">
      <c r="A42" s="389" t="s">
        <v>18</v>
      </c>
      <c r="B42" s="417"/>
      <c r="C42" s="417"/>
      <c r="D42" s="417"/>
      <c r="E42" s="417"/>
      <c r="F42" s="417"/>
      <c r="G42" s="417"/>
    </row>
    <row r="43" spans="1:9" ht="27.75" customHeight="1" x14ac:dyDescent="0.2">
      <c r="A43" s="404" t="s">
        <v>61</v>
      </c>
      <c r="B43" s="404"/>
      <c r="C43" s="404"/>
      <c r="D43" s="404"/>
      <c r="E43" s="404"/>
      <c r="F43" s="404"/>
      <c r="G43" s="404"/>
    </row>
    <row r="44" spans="1:9" ht="17.25" customHeight="1" x14ac:dyDescent="0.2">
      <c r="A44" s="404" t="s">
        <v>337</v>
      </c>
      <c r="B44" s="404"/>
      <c r="C44" s="404"/>
      <c r="D44" s="404"/>
      <c r="E44" s="404"/>
      <c r="F44" s="404"/>
      <c r="G44" s="404"/>
    </row>
    <row r="45" spans="1:9" ht="27.75" customHeight="1" x14ac:dyDescent="0.3">
      <c r="A45" s="404" t="s">
        <v>208</v>
      </c>
      <c r="B45" s="414"/>
      <c r="C45" s="414"/>
      <c r="D45" s="59">
        <f>SUM(M22:M28)/1000</f>
        <v>0</v>
      </c>
      <c r="E45" s="49"/>
      <c r="F45" s="49"/>
      <c r="G45" s="49"/>
    </row>
    <row r="46" spans="1:9" ht="22.5" customHeight="1" x14ac:dyDescent="0.2">
      <c r="A46" s="404"/>
      <c r="B46" s="404"/>
      <c r="C46" s="404"/>
      <c r="D46" s="404"/>
      <c r="E46" s="404"/>
      <c r="F46" s="404"/>
      <c r="G46" s="404"/>
    </row>
    <row r="47" spans="1:9" ht="24" customHeight="1" x14ac:dyDescent="0.2">
      <c r="A47" s="9" t="s">
        <v>19</v>
      </c>
      <c r="B47" s="4"/>
      <c r="C47" s="4"/>
      <c r="D47" s="4"/>
      <c r="E47" s="4"/>
      <c r="F47" s="4"/>
      <c r="G47" s="4"/>
    </row>
    <row r="48" spans="1:9" ht="21" customHeight="1" x14ac:dyDescent="0.2">
      <c r="A48" s="389" t="s">
        <v>20</v>
      </c>
      <c r="B48" s="417"/>
      <c r="C48" s="417"/>
      <c r="D48" s="417"/>
      <c r="E48" s="417"/>
      <c r="F48" s="417"/>
      <c r="G48" s="417"/>
    </row>
    <row r="49" spans="1:18" ht="18" customHeight="1" x14ac:dyDescent="0.3">
      <c r="A49" s="389" t="s">
        <v>21</v>
      </c>
      <c r="B49" s="409"/>
      <c r="C49" s="409"/>
      <c r="D49" s="409"/>
      <c r="E49" s="409"/>
      <c r="F49" s="409"/>
      <c r="G49" s="409"/>
    </row>
    <row r="50" spans="1:18" ht="14.4" x14ac:dyDescent="0.2">
      <c r="A50" s="389" t="s">
        <v>22</v>
      </c>
      <c r="B50" s="417"/>
      <c r="C50" s="417"/>
      <c r="D50" s="417"/>
      <c r="E50" s="417"/>
      <c r="F50" s="417"/>
      <c r="G50" s="417"/>
    </row>
    <row r="52" spans="1:18" x14ac:dyDescent="0.2">
      <c r="B52" s="1" t="s">
        <v>11</v>
      </c>
      <c r="C52" s="2"/>
    </row>
    <row r="53" spans="1:18" ht="14.4" x14ac:dyDescent="0.2">
      <c r="B53" s="373"/>
      <c r="C53" s="374"/>
    </row>
    <row r="54" spans="1:18" ht="14.4" x14ac:dyDescent="0.2">
      <c r="B54" s="373"/>
      <c r="C54" s="374"/>
      <c r="Q54" s="6" t="s">
        <v>88</v>
      </c>
    </row>
    <row r="55" spans="1:18" x14ac:dyDescent="0.2">
      <c r="B55" s="7"/>
    </row>
    <row r="56" spans="1:18" ht="12" thickBot="1" x14ac:dyDescent="0.25">
      <c r="B56" s="7" t="s">
        <v>12</v>
      </c>
    </row>
    <row r="57" spans="1:18" ht="48" customHeight="1" thickTop="1" thickBot="1" x14ac:dyDescent="0.25">
      <c r="B57" s="7"/>
      <c r="J57" s="62" t="s">
        <v>71</v>
      </c>
      <c r="K57" s="62" t="s">
        <v>199</v>
      </c>
      <c r="L57" s="62" t="s">
        <v>198</v>
      </c>
      <c r="M57" s="247" t="s">
        <v>298</v>
      </c>
      <c r="N57" s="247" t="s">
        <v>299</v>
      </c>
      <c r="O57" s="247" t="s">
        <v>300</v>
      </c>
      <c r="P57" s="70" t="s">
        <v>78</v>
      </c>
    </row>
    <row r="58" spans="1:18" ht="15.9" customHeight="1" thickTop="1" thickBot="1" x14ac:dyDescent="0.25">
      <c r="I58" s="65"/>
      <c r="J58" s="119" t="s">
        <v>80</v>
      </c>
      <c r="K58" s="176">
        <v>37</v>
      </c>
      <c r="L58" s="74">
        <f>K58*9</f>
        <v>333</v>
      </c>
      <c r="M58" s="125"/>
      <c r="N58" s="125"/>
      <c r="O58" s="125"/>
      <c r="P58" s="63" t="str">
        <f>IF(OR(ISNUMBER(M58), ISNUMBER(N58), ISNUMBER(O58)), 1, "")</f>
        <v/>
      </c>
      <c r="R58" s="267" t="s">
        <v>200</v>
      </c>
    </row>
    <row r="59" spans="1:18" ht="15.9" customHeight="1" thickTop="1" thickBot="1" x14ac:dyDescent="0.25">
      <c r="I59" s="112"/>
      <c r="J59" s="119" t="s">
        <v>81</v>
      </c>
      <c r="K59" s="176"/>
      <c r="L59" s="74">
        <f t="shared" ref="L59:L84" si="11">K59*9</f>
        <v>0</v>
      </c>
      <c r="M59" s="125"/>
      <c r="N59" s="125"/>
      <c r="O59" s="125"/>
      <c r="P59" s="63" t="str">
        <f t="shared" ref="P59:P70" si="12">IF(OR(ISNUMBER(M59), ISNUMBER(N59), ISNUMBER(O59)), 1, "")</f>
        <v/>
      </c>
      <c r="R59" s="267" t="s">
        <v>201</v>
      </c>
    </row>
    <row r="60" spans="1:18" ht="15.9" customHeight="1" thickTop="1" thickBot="1" x14ac:dyDescent="0.25">
      <c r="I60" s="112"/>
      <c r="J60" s="119" t="s">
        <v>82</v>
      </c>
      <c r="K60" s="176"/>
      <c r="L60" s="74">
        <f t="shared" si="11"/>
        <v>0</v>
      </c>
      <c r="M60" s="125"/>
      <c r="N60" s="125"/>
      <c r="O60" s="125"/>
      <c r="P60" s="63" t="str">
        <f t="shared" si="12"/>
        <v/>
      </c>
      <c r="R60" s="267" t="s">
        <v>202</v>
      </c>
    </row>
    <row r="61" spans="1:18" ht="15.9" customHeight="1" thickTop="1" thickBot="1" x14ac:dyDescent="0.25">
      <c r="I61" s="112"/>
      <c r="J61" s="119" t="s">
        <v>83</v>
      </c>
      <c r="K61" s="176"/>
      <c r="L61" s="74">
        <f t="shared" si="11"/>
        <v>0</v>
      </c>
      <c r="M61" s="125"/>
      <c r="N61" s="125"/>
      <c r="O61" s="125"/>
      <c r="P61" s="63" t="str">
        <f t="shared" si="12"/>
        <v/>
      </c>
      <c r="R61" s="267" t="s">
        <v>203</v>
      </c>
    </row>
    <row r="62" spans="1:18" ht="15.9" customHeight="1" thickTop="1" thickBot="1" x14ac:dyDescent="0.25">
      <c r="I62" s="112"/>
      <c r="J62" s="119" t="s">
        <v>73</v>
      </c>
      <c r="K62" s="176"/>
      <c r="L62" s="74">
        <f t="shared" si="11"/>
        <v>0</v>
      </c>
      <c r="M62" s="125"/>
      <c r="N62" s="125"/>
      <c r="O62" s="125"/>
      <c r="P62" s="63" t="str">
        <f t="shared" si="12"/>
        <v/>
      </c>
      <c r="R62" s="267" t="s">
        <v>204</v>
      </c>
    </row>
    <row r="63" spans="1:18" ht="15.9" customHeight="1" thickTop="1" thickBot="1" x14ac:dyDescent="0.25">
      <c r="I63" s="112"/>
      <c r="J63" s="119" t="s">
        <v>73</v>
      </c>
      <c r="K63" s="176"/>
      <c r="L63" s="74">
        <f t="shared" si="11"/>
        <v>0</v>
      </c>
      <c r="M63" s="125"/>
      <c r="N63" s="125"/>
      <c r="O63" s="125"/>
      <c r="P63" s="63" t="str">
        <f t="shared" si="12"/>
        <v/>
      </c>
      <c r="R63" s="268" t="s">
        <v>205</v>
      </c>
    </row>
    <row r="64" spans="1:18" ht="15.9" customHeight="1" thickTop="1" thickBot="1" x14ac:dyDescent="0.25">
      <c r="I64" s="112" t="s">
        <v>79</v>
      </c>
      <c r="J64" s="119" t="s">
        <v>74</v>
      </c>
      <c r="K64" s="176"/>
      <c r="L64" s="74">
        <f t="shared" si="11"/>
        <v>0</v>
      </c>
      <c r="M64" s="125"/>
      <c r="N64" s="125"/>
      <c r="O64" s="125"/>
      <c r="P64" s="63" t="str">
        <f t="shared" si="12"/>
        <v/>
      </c>
      <c r="R64" s="268" t="s">
        <v>206</v>
      </c>
    </row>
    <row r="65" spans="9:17" ht="15.9" customHeight="1" thickTop="1" thickBot="1" x14ac:dyDescent="0.25">
      <c r="I65" s="145">
        <f>SUM(K58:K70)</f>
        <v>37</v>
      </c>
      <c r="J65" s="119" t="s">
        <v>77</v>
      </c>
      <c r="K65" s="176"/>
      <c r="L65" s="74">
        <f t="shared" si="11"/>
        <v>0</v>
      </c>
      <c r="M65" s="125"/>
      <c r="N65" s="125"/>
      <c r="O65" s="125"/>
      <c r="P65" s="63" t="str">
        <f t="shared" si="12"/>
        <v/>
      </c>
    </row>
    <row r="66" spans="9:17" ht="15.9" customHeight="1" thickTop="1" thickBot="1" x14ac:dyDescent="0.25">
      <c r="I66" s="112" t="s">
        <v>129</v>
      </c>
      <c r="J66" s="119" t="s">
        <v>77</v>
      </c>
      <c r="K66" s="176"/>
      <c r="L66" s="74">
        <f t="shared" si="11"/>
        <v>0</v>
      </c>
      <c r="M66" s="125"/>
      <c r="N66" s="125"/>
      <c r="O66" s="125"/>
      <c r="P66" s="63" t="str">
        <f t="shared" si="12"/>
        <v/>
      </c>
    </row>
    <row r="67" spans="9:17" ht="15.9" customHeight="1" thickTop="1" thickBot="1" x14ac:dyDescent="0.25">
      <c r="I67" s="133"/>
      <c r="J67" s="119" t="s">
        <v>76</v>
      </c>
      <c r="K67" s="176"/>
      <c r="L67" s="74">
        <f t="shared" si="11"/>
        <v>0</v>
      </c>
      <c r="M67" s="125"/>
      <c r="N67" s="125"/>
      <c r="O67" s="125"/>
      <c r="P67" s="63" t="str">
        <f t="shared" si="12"/>
        <v/>
      </c>
    </row>
    <row r="68" spans="9:17" ht="15.9" customHeight="1" thickTop="1" thickBot="1" x14ac:dyDescent="0.25">
      <c r="I68" s="133"/>
      <c r="J68" s="226" t="s">
        <v>75</v>
      </c>
      <c r="K68" s="193"/>
      <c r="L68" s="74">
        <f t="shared" si="11"/>
        <v>0</v>
      </c>
      <c r="M68" s="195"/>
      <c r="N68" s="195"/>
      <c r="O68" s="195"/>
      <c r="P68" s="63" t="str">
        <f t="shared" si="12"/>
        <v/>
      </c>
    </row>
    <row r="69" spans="9:17" ht="15.9" customHeight="1" thickTop="1" thickBot="1" x14ac:dyDescent="0.25">
      <c r="I69" s="133"/>
      <c r="J69" s="71" t="s">
        <v>75</v>
      </c>
      <c r="K69" s="176"/>
      <c r="L69" s="74">
        <f t="shared" si="11"/>
        <v>0</v>
      </c>
      <c r="M69" s="125"/>
      <c r="N69" s="125"/>
      <c r="O69" s="125"/>
      <c r="P69" s="63" t="str">
        <f t="shared" si="12"/>
        <v/>
      </c>
    </row>
    <row r="70" spans="9:17" ht="15.9" customHeight="1" thickTop="1" thickBot="1" x14ac:dyDescent="0.25">
      <c r="I70" s="136"/>
      <c r="J70" s="71" t="s">
        <v>75</v>
      </c>
      <c r="K70" s="176"/>
      <c r="L70" s="74">
        <f t="shared" si="11"/>
        <v>0</v>
      </c>
      <c r="M70" s="125"/>
      <c r="N70" s="125"/>
      <c r="O70" s="125"/>
      <c r="P70" s="63" t="str">
        <f t="shared" si="12"/>
        <v/>
      </c>
    </row>
    <row r="71" spans="9:17" ht="15.9" customHeight="1" thickTop="1" thickBot="1" x14ac:dyDescent="0.25">
      <c r="I71" s="210"/>
      <c r="J71" s="213"/>
      <c r="K71" s="100"/>
      <c r="L71" s="115"/>
      <c r="M71" s="100"/>
      <c r="N71" s="100"/>
      <c r="O71" s="100"/>
      <c r="P71" s="100"/>
      <c r="Q71" s="130"/>
    </row>
    <row r="72" spans="9:17" ht="15.9" customHeight="1" thickTop="1" thickBot="1" x14ac:dyDescent="0.25">
      <c r="I72" s="137"/>
      <c r="J72" s="71" t="s">
        <v>76</v>
      </c>
      <c r="K72" s="176"/>
      <c r="L72" s="74">
        <f t="shared" si="11"/>
        <v>0</v>
      </c>
      <c r="M72" s="125"/>
      <c r="N72" s="125"/>
      <c r="O72" s="125"/>
      <c r="P72" s="63" t="str">
        <f>IF(OR(ISNUMBER(M72), ISNUMBER(N72), ISNUMBER(O72)), 1, "")</f>
        <v/>
      </c>
    </row>
    <row r="73" spans="9:17" ht="15.9" customHeight="1" thickTop="1" thickBot="1" x14ac:dyDescent="0.25">
      <c r="I73" s="206"/>
      <c r="J73" s="119" t="s">
        <v>85</v>
      </c>
      <c r="K73" s="176"/>
      <c r="L73" s="74">
        <f t="shared" si="11"/>
        <v>0</v>
      </c>
      <c r="M73" s="125"/>
      <c r="N73" s="125"/>
      <c r="O73" s="125"/>
      <c r="P73" s="63" t="str">
        <f t="shared" ref="P73:P84" si="13">IF(OR(ISNUMBER(M73), ISNUMBER(N73), ISNUMBER(O73)), 1, "")</f>
        <v/>
      </c>
    </row>
    <row r="74" spans="9:17" ht="15.9" customHeight="1" thickTop="1" thickBot="1" x14ac:dyDescent="0.25">
      <c r="I74" s="112"/>
      <c r="J74" s="119" t="s">
        <v>86</v>
      </c>
      <c r="K74" s="176"/>
      <c r="L74" s="74">
        <f t="shared" si="11"/>
        <v>0</v>
      </c>
      <c r="M74" s="125"/>
      <c r="N74" s="125"/>
      <c r="O74" s="125"/>
      <c r="P74" s="63" t="str">
        <f t="shared" si="13"/>
        <v/>
      </c>
    </row>
    <row r="75" spans="9:17" ht="15.9" customHeight="1" thickTop="1" thickBot="1" x14ac:dyDescent="0.25">
      <c r="I75" s="112"/>
      <c r="J75" s="119" t="s">
        <v>75</v>
      </c>
      <c r="K75" s="176"/>
      <c r="L75" s="74">
        <f t="shared" si="11"/>
        <v>0</v>
      </c>
      <c r="M75" s="125"/>
      <c r="N75" s="125"/>
      <c r="O75" s="125"/>
      <c r="P75" s="63" t="str">
        <f t="shared" si="13"/>
        <v/>
      </c>
    </row>
    <row r="76" spans="9:17" ht="15.9" customHeight="1" thickTop="1" thickBot="1" x14ac:dyDescent="0.25">
      <c r="I76" s="112"/>
      <c r="J76" s="119" t="s">
        <v>75</v>
      </c>
      <c r="K76" s="176"/>
      <c r="L76" s="74">
        <f t="shared" si="11"/>
        <v>0</v>
      </c>
      <c r="M76" s="125"/>
      <c r="N76" s="125"/>
      <c r="O76" s="125"/>
      <c r="P76" s="63" t="str">
        <f t="shared" si="13"/>
        <v/>
      </c>
    </row>
    <row r="77" spans="9:17" ht="15.9" customHeight="1" thickTop="1" thickBot="1" x14ac:dyDescent="0.25">
      <c r="I77" s="112"/>
      <c r="J77" s="119" t="s">
        <v>75</v>
      </c>
      <c r="K77" s="176"/>
      <c r="L77" s="74">
        <f t="shared" si="11"/>
        <v>0</v>
      </c>
      <c r="M77" s="125"/>
      <c r="N77" s="125"/>
      <c r="O77" s="125"/>
      <c r="P77" s="63" t="str">
        <f t="shared" si="13"/>
        <v/>
      </c>
    </row>
    <row r="78" spans="9:17" ht="15.9" customHeight="1" thickTop="1" thickBot="1" x14ac:dyDescent="0.25">
      <c r="I78" s="112" t="s">
        <v>84</v>
      </c>
      <c r="J78" s="119" t="s">
        <v>77</v>
      </c>
      <c r="K78" s="176"/>
      <c r="L78" s="74">
        <f t="shared" si="11"/>
        <v>0</v>
      </c>
      <c r="M78" s="125"/>
      <c r="N78" s="125"/>
      <c r="O78" s="125"/>
      <c r="P78" s="63" t="str">
        <f t="shared" si="13"/>
        <v/>
      </c>
    </row>
    <row r="79" spans="9:17" ht="15.9" customHeight="1" thickTop="1" thickBot="1" x14ac:dyDescent="0.25">
      <c r="I79" s="145">
        <f>SUM(K72:K84)</f>
        <v>0</v>
      </c>
      <c r="J79" s="119" t="s">
        <v>77</v>
      </c>
      <c r="K79" s="176"/>
      <c r="L79" s="74">
        <f t="shared" si="11"/>
        <v>0</v>
      </c>
      <c r="M79" s="124"/>
      <c r="N79" s="124"/>
      <c r="O79" s="124"/>
      <c r="P79" s="63" t="str">
        <f t="shared" si="13"/>
        <v/>
      </c>
    </row>
    <row r="80" spans="9:17" ht="15.9" customHeight="1" thickTop="1" thickBot="1" x14ac:dyDescent="0.25">
      <c r="I80" s="112" t="s">
        <v>129</v>
      </c>
      <c r="J80" s="119" t="s">
        <v>77</v>
      </c>
      <c r="K80" s="176"/>
      <c r="L80" s="74">
        <f t="shared" si="11"/>
        <v>0</v>
      </c>
      <c r="M80" s="124"/>
      <c r="N80" s="124"/>
      <c r="O80" s="124"/>
      <c r="P80" s="63" t="str">
        <f t="shared" si="13"/>
        <v/>
      </c>
    </row>
    <row r="81" spans="9:16" ht="15.9" customHeight="1" thickTop="1" thickBot="1" x14ac:dyDescent="0.25">
      <c r="I81" s="133"/>
      <c r="J81" s="119" t="s">
        <v>73</v>
      </c>
      <c r="K81" s="176"/>
      <c r="L81" s="74">
        <f t="shared" si="11"/>
        <v>0</v>
      </c>
      <c r="M81" s="124"/>
      <c r="N81" s="124"/>
      <c r="O81" s="124"/>
      <c r="P81" s="63" t="str">
        <f t="shared" si="13"/>
        <v/>
      </c>
    </row>
    <row r="82" spans="9:16" ht="15.9" customHeight="1" thickTop="1" thickBot="1" x14ac:dyDescent="0.25">
      <c r="I82" s="133"/>
      <c r="J82" s="226" t="s">
        <v>75</v>
      </c>
      <c r="K82" s="176"/>
      <c r="L82" s="74">
        <f t="shared" si="11"/>
        <v>0</v>
      </c>
      <c r="M82" s="124"/>
      <c r="N82" s="124"/>
      <c r="O82" s="124"/>
      <c r="P82" s="63" t="str">
        <f t="shared" si="13"/>
        <v/>
      </c>
    </row>
    <row r="83" spans="9:16" ht="15.9" customHeight="1" thickTop="1" thickBot="1" x14ac:dyDescent="0.25">
      <c r="I83" s="133"/>
      <c r="J83" s="71" t="s">
        <v>75</v>
      </c>
      <c r="K83" s="176"/>
      <c r="L83" s="74">
        <f t="shared" si="11"/>
        <v>0</v>
      </c>
      <c r="M83" s="124"/>
      <c r="N83" s="124"/>
      <c r="O83" s="124"/>
      <c r="P83" s="63" t="str">
        <f t="shared" si="13"/>
        <v/>
      </c>
    </row>
    <row r="84" spans="9:16" ht="15.9" customHeight="1" thickTop="1" thickBot="1" x14ac:dyDescent="0.25">
      <c r="I84" s="133"/>
      <c r="J84" s="71" t="s">
        <v>75</v>
      </c>
      <c r="K84" s="176"/>
      <c r="L84" s="74">
        <f t="shared" si="11"/>
        <v>0</v>
      </c>
      <c r="M84" s="124"/>
      <c r="N84" s="124"/>
      <c r="O84" s="124"/>
      <c r="P84" s="63" t="str">
        <f t="shared" si="13"/>
        <v/>
      </c>
    </row>
    <row r="85" spans="9:16" ht="15.6" thickTop="1" thickBot="1" x14ac:dyDescent="0.35">
      <c r="I85" s="136"/>
      <c r="J85" s="103" t="s">
        <v>209</v>
      </c>
      <c r="K85" s="198">
        <f>SUM(K58:K84)</f>
        <v>37</v>
      </c>
      <c r="L85"/>
      <c r="M85"/>
      <c r="N85"/>
      <c r="O85"/>
      <c r="P85" s="197">
        <f>SUM(P58:P84)</f>
        <v>0</v>
      </c>
    </row>
    <row r="86" spans="9:16" ht="14.4" thickTop="1" x14ac:dyDescent="0.2">
      <c r="K86" s="99" t="s">
        <v>129</v>
      </c>
    </row>
  </sheetData>
  <autoFilter ref="H17:H39" xr:uid="{00000000-0009-0000-0000-000000000000}"/>
  <mergeCells count="27">
    <mergeCell ref="A8:C8"/>
    <mergeCell ref="C1:G1"/>
    <mergeCell ref="A2:C2"/>
    <mergeCell ref="A5:C5"/>
    <mergeCell ref="A6:C6"/>
    <mergeCell ref="A7:C7"/>
    <mergeCell ref="A4:C4"/>
    <mergeCell ref="A18:F18"/>
    <mergeCell ref="A37:F37"/>
    <mergeCell ref="B38:F38"/>
    <mergeCell ref="A10:F10"/>
    <mergeCell ref="A11:F11"/>
    <mergeCell ref="A15:G15"/>
    <mergeCell ref="B16:B17"/>
    <mergeCell ref="C16:C17"/>
    <mergeCell ref="D16:D17"/>
    <mergeCell ref="E16:E17"/>
    <mergeCell ref="A49:G49"/>
    <mergeCell ref="A50:G50"/>
    <mergeCell ref="B53:C53"/>
    <mergeCell ref="B54:C54"/>
    <mergeCell ref="A42:G42"/>
    <mergeCell ref="A43:G43"/>
    <mergeCell ref="A44:G44"/>
    <mergeCell ref="A45:C45"/>
    <mergeCell ref="A46:G46"/>
    <mergeCell ref="A48:G48"/>
  </mergeCells>
  <phoneticPr fontId="17" type="noConversion"/>
  <hyperlinks>
    <hyperlink ref="B56" r:id="rId1" xr:uid="{A540D890-2524-49DD-AF84-BE2BA9FDD573}"/>
  </hyperlinks>
  <pageMargins left="0.70866141732283505" right="0.23622047244094499" top="1.14173228346457" bottom="1.0629910323709499" header="0.19684930008748899" footer="0.15748031496063"/>
  <pageSetup paperSize="9" scale="85" orientation="portrait" r:id="rId2"/>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3"/>
  <legacyDrawing r:id="rId4"/>
  <legacyDrawingHF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CB99-76D6-4474-A2A1-A1A43E1A2F1E}">
  <sheetPr>
    <tabColor rgb="FF0066FF"/>
  </sheetPr>
  <dimension ref="A1:AD105"/>
  <sheetViews>
    <sheetView zoomScaleNormal="100" zoomScaleSheetLayoutView="100" workbookViewId="0">
      <selection activeCell="J3" sqref="J3"/>
    </sheetView>
  </sheetViews>
  <sheetFormatPr defaultColWidth="9.109375" defaultRowHeight="11.4" x14ac:dyDescent="0.2"/>
  <cols>
    <col min="1" max="1" width="5.88671875" style="6" customWidth="1"/>
    <col min="2" max="2" width="8.5546875" style="6" customWidth="1"/>
    <col min="3" max="3" width="59.21875" style="6" customWidth="1"/>
    <col min="4" max="4" width="7.44140625" style="6" customWidth="1"/>
    <col min="5" max="5" width="6.6640625" style="6" customWidth="1"/>
    <col min="6" max="6" width="10.88671875" style="6" customWidth="1"/>
    <col min="7" max="7" width="10.33203125" style="6" customWidth="1"/>
    <col min="8" max="8" width="5.5546875" style="6" customWidth="1"/>
    <col min="9" max="9" width="7.33203125" style="6" customWidth="1"/>
    <col min="10" max="10" width="12.44140625" style="6" customWidth="1"/>
    <col min="11" max="11" width="9.109375" style="6" customWidth="1"/>
    <col min="12" max="14" width="8.5546875" style="6" customWidth="1"/>
    <col min="15" max="15" width="8.6640625" style="6" customWidth="1"/>
    <col min="16" max="16" width="7" style="6" customWidth="1"/>
    <col min="17" max="17" width="27.88671875" style="6" customWidth="1"/>
    <col min="18" max="18" width="6.88671875" style="6" customWidth="1"/>
    <col min="19" max="19" width="11.109375" style="6" customWidth="1"/>
    <col min="20" max="20" width="7.88671875" style="6" customWidth="1"/>
    <col min="21" max="21" width="11.33203125" style="6" customWidth="1"/>
    <col min="22" max="23" width="8.109375" style="6" customWidth="1"/>
    <col min="24" max="24" width="8.33203125" style="6" customWidth="1"/>
    <col min="25" max="25" width="6.5546875" style="6" customWidth="1"/>
    <col min="26" max="26" width="8" style="6" customWidth="1"/>
    <col min="27" max="16384" width="9.109375" style="6"/>
  </cols>
  <sheetData>
    <row r="1" spans="1:16" ht="130.05000000000001" customHeight="1" x14ac:dyDescent="0.2">
      <c r="C1" s="405" t="s">
        <v>382</v>
      </c>
      <c r="D1" s="405"/>
      <c r="E1" s="405"/>
      <c r="F1" s="405"/>
      <c r="G1" s="405"/>
      <c r="H1" s="10"/>
      <c r="I1" s="10"/>
    </row>
    <row r="2" spans="1:16" ht="14.4" x14ac:dyDescent="0.3">
      <c r="A2" s="408" t="s">
        <v>420</v>
      </c>
      <c r="B2" s="409"/>
      <c r="C2" s="409"/>
    </row>
    <row r="3" spans="1:16" x14ac:dyDescent="0.2">
      <c r="A3" s="2"/>
    </row>
    <row r="4" spans="1:16" ht="15" customHeight="1" x14ac:dyDescent="0.3">
      <c r="A4" s="419" t="s">
        <v>149</v>
      </c>
      <c r="B4" s="409"/>
      <c r="C4" s="409"/>
    </row>
    <row r="5" spans="1:16" ht="15" customHeight="1" x14ac:dyDescent="0.3">
      <c r="A5" s="419" t="s">
        <v>132</v>
      </c>
      <c r="B5" s="409"/>
      <c r="C5" s="409"/>
    </row>
    <row r="6" spans="1:16" ht="15" customHeight="1" x14ac:dyDescent="0.3">
      <c r="A6" s="419" t="s">
        <v>15</v>
      </c>
      <c r="B6" s="409"/>
      <c r="C6" s="409"/>
    </row>
    <row r="7" spans="1:16" ht="15" customHeight="1" x14ac:dyDescent="0.3">
      <c r="A7" s="420" t="s">
        <v>13</v>
      </c>
      <c r="B7" s="421"/>
      <c r="C7" s="421"/>
    </row>
    <row r="8" spans="1:16" ht="15" customHeight="1" x14ac:dyDescent="0.3">
      <c r="A8" s="419" t="s">
        <v>136</v>
      </c>
      <c r="B8" s="409"/>
      <c r="C8" s="409"/>
    </row>
    <row r="10" spans="1:16" ht="34.5" customHeight="1" thickBot="1" x14ac:dyDescent="0.25">
      <c r="A10" s="406" t="s">
        <v>0</v>
      </c>
      <c r="B10" s="406"/>
      <c r="C10" s="406"/>
      <c r="D10" s="406"/>
      <c r="E10" s="406"/>
      <c r="F10" s="406"/>
      <c r="G10" s="12" t="s">
        <v>190</v>
      </c>
      <c r="H10" s="4"/>
      <c r="I10" s="5"/>
      <c r="J10" s="5"/>
      <c r="K10" s="5"/>
      <c r="L10" s="5"/>
      <c r="M10" s="5"/>
      <c r="N10" s="5"/>
      <c r="O10" s="5"/>
      <c r="P10" s="5"/>
    </row>
    <row r="11" spans="1:16" ht="29.25" customHeight="1" thickTop="1" thickBot="1" x14ac:dyDescent="0.25">
      <c r="A11" s="406" t="s">
        <v>62</v>
      </c>
      <c r="B11" s="406"/>
      <c r="C11" s="406"/>
      <c r="D11" s="406"/>
      <c r="E11" s="406"/>
      <c r="F11" s="406"/>
      <c r="G11" s="114">
        <f>K104+T104</f>
        <v>0</v>
      </c>
      <c r="H11" s="4"/>
      <c r="I11" s="5"/>
      <c r="J11" s="5"/>
      <c r="K11" s="5"/>
      <c r="L11" s="5"/>
      <c r="M11" s="5"/>
      <c r="N11" s="5"/>
      <c r="O11" s="5"/>
      <c r="P11" s="5"/>
    </row>
    <row r="12" spans="1:16" ht="39" customHeight="1" thickTop="1" x14ac:dyDescent="0.2">
      <c r="A12" s="4"/>
      <c r="B12" s="4"/>
      <c r="C12" s="4"/>
      <c r="D12" s="4"/>
      <c r="E12" s="4"/>
      <c r="F12" s="4"/>
      <c r="G12" s="4"/>
      <c r="H12" s="4"/>
      <c r="I12" s="165"/>
      <c r="J12" s="5"/>
      <c r="K12" s="5"/>
      <c r="L12" s="5"/>
      <c r="M12" s="5"/>
      <c r="N12" s="5"/>
      <c r="O12" s="5"/>
      <c r="P12" s="5"/>
    </row>
    <row r="13" spans="1:16" ht="39" customHeight="1" x14ac:dyDescent="0.2">
      <c r="A13" s="4"/>
      <c r="B13" s="4"/>
      <c r="C13" s="4"/>
      <c r="D13" s="4"/>
      <c r="E13" s="4"/>
      <c r="F13" s="4"/>
      <c r="G13" s="4"/>
      <c r="H13" s="4"/>
      <c r="I13" s="12" t="s">
        <v>377</v>
      </c>
      <c r="J13" s="12"/>
      <c r="K13" s="129" t="s">
        <v>101</v>
      </c>
      <c r="L13" s="5"/>
      <c r="M13" s="129" t="s">
        <v>220</v>
      </c>
      <c r="N13" s="12" t="s">
        <v>329</v>
      </c>
      <c r="O13" s="97" t="s">
        <v>100</v>
      </c>
      <c r="P13" s="5"/>
    </row>
    <row r="14" spans="1:16" ht="18" customHeight="1" x14ac:dyDescent="0.2">
      <c r="A14" s="4"/>
      <c r="B14" s="4"/>
      <c r="C14" s="4"/>
      <c r="D14" s="4"/>
      <c r="E14" s="12"/>
      <c r="F14" s="12"/>
      <c r="G14" s="12" t="s">
        <v>331</v>
      </c>
      <c r="H14" s="4"/>
      <c r="I14" s="5"/>
      <c r="J14" s="5"/>
      <c r="K14" s="5"/>
      <c r="L14" s="5"/>
      <c r="M14" s="5"/>
      <c r="N14" s="5"/>
      <c r="O14" s="5"/>
      <c r="P14" s="5"/>
    </row>
    <row r="15" spans="1:16" ht="21.75" customHeight="1" thickBot="1" x14ac:dyDescent="0.45">
      <c r="A15" s="410" t="s">
        <v>60</v>
      </c>
      <c r="B15" s="411"/>
      <c r="C15" s="411"/>
      <c r="D15" s="411"/>
      <c r="E15" s="411"/>
      <c r="F15" s="411"/>
      <c r="G15" s="411"/>
      <c r="H15" s="5"/>
      <c r="I15" s="5"/>
      <c r="J15" s="5"/>
      <c r="K15" s="5"/>
      <c r="L15" s="5"/>
      <c r="M15" s="5"/>
      <c r="N15" s="5"/>
      <c r="O15" s="5"/>
      <c r="P15" s="5"/>
    </row>
    <row r="16" spans="1:16" ht="27" customHeight="1" thickTop="1" thickBot="1" x14ac:dyDescent="0.25">
      <c r="A16" s="32" t="s">
        <v>1</v>
      </c>
      <c r="B16" s="407" t="s">
        <v>3</v>
      </c>
      <c r="C16" s="407" t="s">
        <v>4</v>
      </c>
      <c r="D16" s="407" t="s">
        <v>5</v>
      </c>
      <c r="E16" s="407" t="s">
        <v>6</v>
      </c>
      <c r="F16" s="32" t="s">
        <v>7</v>
      </c>
      <c r="G16" s="32" t="s">
        <v>9</v>
      </c>
      <c r="H16" s="5"/>
      <c r="P16" s="5"/>
    </row>
    <row r="17" spans="1:17" ht="27" customHeight="1" thickTop="1" thickBot="1" x14ac:dyDescent="0.25">
      <c r="A17" s="32" t="s">
        <v>2</v>
      </c>
      <c r="B17" s="407"/>
      <c r="C17" s="407"/>
      <c r="D17" s="407"/>
      <c r="E17" s="407"/>
      <c r="F17" s="32" t="s">
        <v>8</v>
      </c>
      <c r="G17" s="32" t="s">
        <v>8</v>
      </c>
      <c r="H17" s="281"/>
      <c r="P17" s="5"/>
    </row>
    <row r="18" spans="1:17" ht="18" customHeight="1" thickTop="1" thickBot="1" x14ac:dyDescent="0.25">
      <c r="A18" s="292" t="s">
        <v>395</v>
      </c>
      <c r="B18" s="291"/>
      <c r="C18" s="291"/>
      <c r="D18" s="291"/>
      <c r="E18" s="291"/>
      <c r="F18" s="291"/>
      <c r="G18" s="184">
        <f>K104</f>
        <v>0</v>
      </c>
      <c r="H18" s="241">
        <f>SUM(H19:H20)</f>
        <v>0</v>
      </c>
      <c r="P18" s="5"/>
    </row>
    <row r="19" spans="1:17" ht="28.95" customHeight="1" thickTop="1" thickBot="1" x14ac:dyDescent="0.25">
      <c r="A19" s="22"/>
      <c r="B19" s="23">
        <v>430010</v>
      </c>
      <c r="C19" s="83" t="s">
        <v>99</v>
      </c>
      <c r="D19" s="23" t="s">
        <v>10</v>
      </c>
      <c r="E19" s="23">
        <f>ROUNDUP(K104*1.05/5,0)</f>
        <v>0</v>
      </c>
      <c r="F19" s="352">
        <v>151</v>
      </c>
      <c r="G19" s="153">
        <f t="shared" ref="G19:G20" si="0">E19*F19</f>
        <v>0</v>
      </c>
      <c r="H19" s="48">
        <f t="shared" ref="H19:H20" si="1">E19</f>
        <v>0</v>
      </c>
      <c r="M19" s="353" t="s">
        <v>349</v>
      </c>
      <c r="P19" s="5"/>
    </row>
    <row r="20" spans="1:17" ht="18" customHeight="1" thickTop="1" thickBot="1" x14ac:dyDescent="0.25">
      <c r="A20" s="22"/>
      <c r="B20" s="23">
        <v>430030</v>
      </c>
      <c r="C20" s="83" t="s">
        <v>393</v>
      </c>
      <c r="D20" s="23" t="s">
        <v>10</v>
      </c>
      <c r="E20" s="23">
        <f>ROUNDUP(K104*1.01/2.8,0)</f>
        <v>0</v>
      </c>
      <c r="F20" s="352">
        <v>85</v>
      </c>
      <c r="G20" s="153">
        <f t="shared" si="0"/>
        <v>0</v>
      </c>
      <c r="H20" s="48">
        <f t="shared" si="1"/>
        <v>0</v>
      </c>
      <c r="M20" s="353" t="s">
        <v>64</v>
      </c>
      <c r="P20" s="5"/>
    </row>
    <row r="21" spans="1:17" ht="18" customHeight="1" thickTop="1" thickBot="1" x14ac:dyDescent="0.25">
      <c r="A21" s="292" t="s">
        <v>296</v>
      </c>
      <c r="B21" s="294"/>
      <c r="C21" s="294"/>
      <c r="D21" s="291"/>
      <c r="E21" s="291"/>
      <c r="F21" s="291"/>
      <c r="G21" s="15"/>
      <c r="H21" s="48">
        <f>SUM(H22:H28)</f>
        <v>0</v>
      </c>
      <c r="M21" s="142" t="s">
        <v>63</v>
      </c>
      <c r="P21" s="5"/>
    </row>
    <row r="22" spans="1:17" ht="18" customHeight="1" thickTop="1" thickBot="1" x14ac:dyDescent="0.25">
      <c r="A22" s="84"/>
      <c r="B22" s="86">
        <v>131030</v>
      </c>
      <c r="C22" s="52" t="s">
        <v>191</v>
      </c>
      <c r="D22" s="85" t="s">
        <v>10</v>
      </c>
      <c r="E22" s="77">
        <f>COUNTIF(M77:M103,30)+COUNTIF(N77:N103,30)+COUNTIF(O77:O103,30)</f>
        <v>0</v>
      </c>
      <c r="F22" s="352">
        <v>62</v>
      </c>
      <c r="G22" s="153">
        <f t="shared" ref="G22:G28" si="2">E22*F22</f>
        <v>0</v>
      </c>
      <c r="H22" s="48">
        <f t="shared" ref="H22:H28" si="3">E22</f>
        <v>0</v>
      </c>
      <c r="M22" s="142">
        <f>E22*300</f>
        <v>0</v>
      </c>
      <c r="P22" s="5"/>
    </row>
    <row r="23" spans="1:17" ht="18" customHeight="1" thickTop="1" thickBot="1" x14ac:dyDescent="0.25">
      <c r="A23" s="84"/>
      <c r="B23" s="338">
        <v>131050</v>
      </c>
      <c r="C23" s="52" t="s">
        <v>196</v>
      </c>
      <c r="D23" s="85" t="s">
        <v>10</v>
      </c>
      <c r="E23" s="77">
        <f>COUNTIF(M77:M103,50)+COUNTIF(N77:N103,50)+COUNTIF(O77:O103,50)</f>
        <v>0</v>
      </c>
      <c r="F23" s="352">
        <v>92</v>
      </c>
      <c r="G23" s="153">
        <f t="shared" si="2"/>
        <v>0</v>
      </c>
      <c r="H23" s="48">
        <f t="shared" si="3"/>
        <v>0</v>
      </c>
      <c r="M23" s="142">
        <f>E23*500</f>
        <v>0</v>
      </c>
      <c r="P23" s="5"/>
    </row>
    <row r="24" spans="1:17" ht="18" customHeight="1" thickTop="1" thickBot="1" x14ac:dyDescent="0.25">
      <c r="A24" s="84"/>
      <c r="B24" s="86">
        <v>131080</v>
      </c>
      <c r="C24" s="52" t="s">
        <v>195</v>
      </c>
      <c r="D24" s="85" t="s">
        <v>10</v>
      </c>
      <c r="E24" s="77">
        <f>COUNTIF(M77:M103,80)+COUNTIF(N77:N103,80)+COUNTIF(O77:O103,80)</f>
        <v>0</v>
      </c>
      <c r="F24" s="352">
        <v>147</v>
      </c>
      <c r="G24" s="153">
        <f t="shared" si="2"/>
        <v>0</v>
      </c>
      <c r="H24" s="48">
        <f t="shared" si="3"/>
        <v>0</v>
      </c>
      <c r="M24" s="142">
        <f>E24*800</f>
        <v>0</v>
      </c>
      <c r="P24" s="5"/>
    </row>
    <row r="25" spans="1:17" ht="18" customHeight="1" thickTop="1" thickBot="1" x14ac:dyDescent="0.25">
      <c r="A25" s="84"/>
      <c r="B25" s="86">
        <v>131100</v>
      </c>
      <c r="C25" s="52" t="s">
        <v>194</v>
      </c>
      <c r="D25" s="85" t="s">
        <v>10</v>
      </c>
      <c r="E25" s="77">
        <f>COUNTIF(M77:M103,100)+COUNTIF(N77:N103,100)+COUNTIF(O77:O103,100)</f>
        <v>0</v>
      </c>
      <c r="F25" s="352">
        <v>190</v>
      </c>
      <c r="G25" s="153">
        <f t="shared" si="2"/>
        <v>0</v>
      </c>
      <c r="H25" s="48">
        <f t="shared" si="3"/>
        <v>0</v>
      </c>
      <c r="M25" s="142">
        <f>E25*1000</f>
        <v>0</v>
      </c>
      <c r="P25" s="5"/>
    </row>
    <row r="26" spans="1:17" ht="18" customHeight="1" thickTop="1" thickBot="1" x14ac:dyDescent="0.25">
      <c r="A26" s="84"/>
      <c r="B26" s="86">
        <v>131120</v>
      </c>
      <c r="C26" s="52" t="s">
        <v>193</v>
      </c>
      <c r="D26" s="85" t="s">
        <v>10</v>
      </c>
      <c r="E26" s="77">
        <f>COUNTIF(M77:M103,120)+COUNTIF(N77:N103,120)+COUNTIF(O77:O103,120)</f>
        <v>0</v>
      </c>
      <c r="F26" s="352">
        <v>216</v>
      </c>
      <c r="G26" s="153">
        <f t="shared" si="2"/>
        <v>0</v>
      </c>
      <c r="H26" s="48">
        <f t="shared" si="3"/>
        <v>0</v>
      </c>
      <c r="M26" s="142">
        <f>E26*1200</f>
        <v>0</v>
      </c>
      <c r="P26" s="5"/>
    </row>
    <row r="27" spans="1:17" ht="18" customHeight="1" thickTop="1" thickBot="1" x14ac:dyDescent="0.25">
      <c r="A27" s="84"/>
      <c r="B27" s="86">
        <v>131150</v>
      </c>
      <c r="C27" s="82" t="s">
        <v>192</v>
      </c>
      <c r="D27" s="85" t="s">
        <v>10</v>
      </c>
      <c r="E27" s="77">
        <f>COUNTIF(M77:M103,150)+COUNTIF(N77:N103,150)+COUNTIF(O77:O103,150)</f>
        <v>0</v>
      </c>
      <c r="F27" s="352">
        <v>250</v>
      </c>
      <c r="G27" s="153">
        <f t="shared" si="2"/>
        <v>0</v>
      </c>
      <c r="H27" s="48">
        <f t="shared" si="3"/>
        <v>0</v>
      </c>
      <c r="M27" s="142">
        <f>E27*1500</f>
        <v>0</v>
      </c>
      <c r="P27" s="5"/>
    </row>
    <row r="28" spans="1:17" ht="18" customHeight="1" thickTop="1" thickBot="1" x14ac:dyDescent="0.25">
      <c r="A28" s="84"/>
      <c r="B28" s="338">
        <v>131190</v>
      </c>
      <c r="C28" s="82" t="s">
        <v>197</v>
      </c>
      <c r="D28" s="85" t="s">
        <v>10</v>
      </c>
      <c r="E28" s="77">
        <f>COUNTIF(M77:M103,190)+COUNTIF(N77:N103,190)+COUNTIF(O77:O103,190)</f>
        <v>0</v>
      </c>
      <c r="F28" s="352">
        <v>298</v>
      </c>
      <c r="G28" s="153">
        <f t="shared" si="2"/>
        <v>0</v>
      </c>
      <c r="H28" s="48">
        <f t="shared" si="3"/>
        <v>0</v>
      </c>
      <c r="M28" s="142">
        <f>E28*1900</f>
        <v>0</v>
      </c>
      <c r="P28" s="5"/>
    </row>
    <row r="29" spans="1:17" ht="18" customHeight="1" thickTop="1" thickBot="1" x14ac:dyDescent="0.25">
      <c r="A29" s="160" t="s">
        <v>396</v>
      </c>
      <c r="B29" s="161"/>
      <c r="C29" s="161"/>
      <c r="D29" s="161"/>
      <c r="E29" s="161"/>
      <c r="F29" s="161"/>
      <c r="G29" s="184">
        <f>T104</f>
        <v>0</v>
      </c>
      <c r="H29" s="241">
        <f>SUM(H30:H46)</f>
        <v>0</v>
      </c>
      <c r="I29" s="12"/>
      <c r="K29" s="5"/>
      <c r="L29" s="142" t="s">
        <v>63</v>
      </c>
      <c r="M29" s="142" t="s">
        <v>63</v>
      </c>
      <c r="N29" s="5"/>
      <c r="O29" s="5"/>
      <c r="P29" s="5"/>
      <c r="Q29" s="5"/>
    </row>
    <row r="30" spans="1:17" ht="18" customHeight="1" thickTop="1" thickBot="1" x14ac:dyDescent="0.25">
      <c r="A30" s="22"/>
      <c r="B30" s="33">
        <v>250201</v>
      </c>
      <c r="C30" s="34" t="s">
        <v>30</v>
      </c>
      <c r="D30" s="35" t="s">
        <v>10</v>
      </c>
      <c r="E30" s="140">
        <f>COUNTIF(V77:V103,1)+COUNTIF(W77:W103,1)+COUNTIF(X77:X103,1)</f>
        <v>0</v>
      </c>
      <c r="F30" s="350">
        <v>33</v>
      </c>
      <c r="G30" s="153">
        <f>E30*F30</f>
        <v>0</v>
      </c>
      <c r="H30" s="48">
        <f>E30</f>
        <v>0</v>
      </c>
      <c r="I30" s="12"/>
      <c r="K30" s="5"/>
      <c r="L30" s="142">
        <f>E30*150</f>
        <v>0</v>
      </c>
      <c r="M30" s="142">
        <f>E30*150</f>
        <v>0</v>
      </c>
      <c r="N30" s="5"/>
      <c r="O30" s="5"/>
      <c r="P30" s="5"/>
      <c r="Q30" s="5"/>
    </row>
    <row r="31" spans="1:17" ht="18" customHeight="1" thickTop="1" thickBot="1" x14ac:dyDescent="0.25">
      <c r="A31" s="22"/>
      <c r="B31" s="33">
        <v>250301</v>
      </c>
      <c r="C31" s="34" t="s">
        <v>31</v>
      </c>
      <c r="D31" s="35" t="s">
        <v>10</v>
      </c>
      <c r="E31" s="140">
        <f>COUNTIF(V77:V103,1.5)+COUNTIF(W77:W103,1.5)+COUNTIF(X77:X103,1.5)</f>
        <v>0</v>
      </c>
      <c r="F31" s="350">
        <v>41</v>
      </c>
      <c r="G31" s="153">
        <f t="shared" ref="G31:G46" si="4">E31*F31</f>
        <v>0</v>
      </c>
      <c r="H31" s="48">
        <f t="shared" ref="H31:H46" si="5">E31</f>
        <v>0</v>
      </c>
      <c r="I31" s="12"/>
      <c r="K31" s="5"/>
      <c r="L31" s="142">
        <f>E31*225</f>
        <v>0</v>
      </c>
      <c r="M31" s="142">
        <f>E31*225</f>
        <v>0</v>
      </c>
      <c r="N31" s="5"/>
      <c r="O31" s="5"/>
      <c r="P31" s="5"/>
      <c r="Q31" s="5"/>
    </row>
    <row r="32" spans="1:17" ht="18" customHeight="1" thickTop="1" thickBot="1" x14ac:dyDescent="0.25">
      <c r="A32" s="22"/>
      <c r="B32" s="33">
        <v>250401</v>
      </c>
      <c r="C32" s="34" t="s">
        <v>32</v>
      </c>
      <c r="D32" s="35" t="s">
        <v>10</v>
      </c>
      <c r="E32" s="140">
        <f>COUNTIF(V77:V103,2)+COUNTIF(W77:W103,2)+COUNTIF(X77:X103,2)</f>
        <v>0</v>
      </c>
      <c r="F32" s="350">
        <v>49</v>
      </c>
      <c r="G32" s="153">
        <f t="shared" si="4"/>
        <v>0</v>
      </c>
      <c r="H32" s="48">
        <f t="shared" si="5"/>
        <v>0</v>
      </c>
      <c r="I32" s="12"/>
      <c r="K32" s="5"/>
      <c r="L32" s="142">
        <f>E32*300</f>
        <v>0</v>
      </c>
      <c r="M32" s="142">
        <f>E32*300</f>
        <v>0</v>
      </c>
      <c r="N32" s="5"/>
      <c r="O32" s="5"/>
      <c r="P32" s="5"/>
      <c r="Q32" s="5"/>
    </row>
    <row r="33" spans="1:17" ht="18" customHeight="1" thickTop="1" thickBot="1" x14ac:dyDescent="0.25">
      <c r="A33" s="22"/>
      <c r="B33" s="33">
        <v>250501</v>
      </c>
      <c r="C33" s="34" t="s">
        <v>33</v>
      </c>
      <c r="D33" s="35" t="s">
        <v>10</v>
      </c>
      <c r="E33" s="140">
        <f>COUNTIF(V77:V103,2.5)+COUNTIF(W77:W103,2.5)+COUNTIF(X77:X103,2.5)</f>
        <v>0</v>
      </c>
      <c r="F33" s="350">
        <v>56</v>
      </c>
      <c r="G33" s="153">
        <f t="shared" si="4"/>
        <v>0</v>
      </c>
      <c r="H33" s="48">
        <f t="shared" si="5"/>
        <v>0</v>
      </c>
      <c r="I33" s="12"/>
      <c r="K33" s="5"/>
      <c r="L33" s="142">
        <f>E33*375</f>
        <v>0</v>
      </c>
      <c r="M33" s="142">
        <f>E33*375</f>
        <v>0</v>
      </c>
      <c r="N33" s="5"/>
      <c r="O33" s="5"/>
      <c r="P33" s="5"/>
      <c r="Q33" s="5"/>
    </row>
    <row r="34" spans="1:17" ht="18" customHeight="1" thickTop="1" thickBot="1" x14ac:dyDescent="0.25">
      <c r="A34" s="22"/>
      <c r="B34" s="33">
        <v>250601</v>
      </c>
      <c r="C34" s="34" t="s">
        <v>34</v>
      </c>
      <c r="D34" s="35" t="s">
        <v>10</v>
      </c>
      <c r="E34" s="140">
        <f>COUNTIF(V77:V103,3)+COUNTIF(W77:W103,3)+COUNTIF(X77:X103,3)</f>
        <v>0</v>
      </c>
      <c r="F34" s="350">
        <v>64</v>
      </c>
      <c r="G34" s="153">
        <f t="shared" si="4"/>
        <v>0</v>
      </c>
      <c r="H34" s="48">
        <f t="shared" si="5"/>
        <v>0</v>
      </c>
      <c r="I34" s="12"/>
      <c r="K34" s="5"/>
      <c r="L34" s="142">
        <f>E34*450</f>
        <v>0</v>
      </c>
      <c r="M34" s="142">
        <f>E34*450</f>
        <v>0</v>
      </c>
      <c r="N34" s="5"/>
      <c r="O34" s="5"/>
      <c r="P34" s="5"/>
      <c r="Q34" s="5"/>
    </row>
    <row r="35" spans="1:17" ht="18" customHeight="1" thickTop="1" thickBot="1" x14ac:dyDescent="0.25">
      <c r="A35" s="22"/>
      <c r="B35" s="33">
        <v>250701</v>
      </c>
      <c r="C35" s="34" t="s">
        <v>35</v>
      </c>
      <c r="D35" s="35" t="s">
        <v>10</v>
      </c>
      <c r="E35" s="140">
        <f>COUNTIF(V77:V103,3.5)+COUNTIF(W77:W103,3.5)+COUNTIF(X77:X103,3.5)</f>
        <v>0</v>
      </c>
      <c r="F35" s="350">
        <v>73</v>
      </c>
      <c r="G35" s="153">
        <f t="shared" si="4"/>
        <v>0</v>
      </c>
      <c r="H35" s="48">
        <f t="shared" si="5"/>
        <v>0</v>
      </c>
      <c r="I35" s="12"/>
      <c r="K35" s="5"/>
      <c r="L35" s="142">
        <f>E35*525</f>
        <v>0</v>
      </c>
      <c r="M35" s="142">
        <f>E35*525</f>
        <v>0</v>
      </c>
      <c r="N35" s="5"/>
      <c r="O35" s="5"/>
      <c r="P35" s="5"/>
      <c r="Q35" s="5"/>
    </row>
    <row r="36" spans="1:17" ht="18" customHeight="1" thickTop="1" thickBot="1" x14ac:dyDescent="0.25">
      <c r="A36" s="22"/>
      <c r="B36" s="33">
        <v>250801</v>
      </c>
      <c r="C36" s="34" t="s">
        <v>36</v>
      </c>
      <c r="D36" s="35" t="s">
        <v>10</v>
      </c>
      <c r="E36" s="140">
        <f>COUNTIF(V77:V103,4)+COUNTIF(W77:W103,4)+COUNTIF(X77:X103,4)</f>
        <v>0</v>
      </c>
      <c r="F36" s="350">
        <v>82</v>
      </c>
      <c r="G36" s="153">
        <f t="shared" si="4"/>
        <v>0</v>
      </c>
      <c r="H36" s="48">
        <f t="shared" si="5"/>
        <v>0</v>
      </c>
      <c r="I36" s="12"/>
      <c r="K36" s="8"/>
      <c r="L36" s="142">
        <f>E36*600</f>
        <v>0</v>
      </c>
      <c r="M36" s="142">
        <f>E36*600</f>
        <v>0</v>
      </c>
      <c r="N36" s="5"/>
      <c r="O36" s="5"/>
      <c r="P36" s="5"/>
      <c r="Q36" s="5"/>
    </row>
    <row r="37" spans="1:17" ht="18" customHeight="1" thickTop="1" thickBot="1" x14ac:dyDescent="0.25">
      <c r="A37" s="22"/>
      <c r="B37" s="33">
        <v>250901</v>
      </c>
      <c r="C37" s="34" t="s">
        <v>37</v>
      </c>
      <c r="D37" s="35" t="s">
        <v>10</v>
      </c>
      <c r="E37" s="140">
        <f>COUNTIF(V77:V103,4.5)+COUNTIF(W77:W103,4.5)+COUNTIF(X77:X103,4.5)</f>
        <v>0</v>
      </c>
      <c r="F37" s="350">
        <v>88</v>
      </c>
      <c r="G37" s="153">
        <f t="shared" si="4"/>
        <v>0</v>
      </c>
      <c r="H37" s="48">
        <f t="shared" si="5"/>
        <v>0</v>
      </c>
      <c r="I37" s="12"/>
      <c r="K37" s="5"/>
      <c r="L37" s="142">
        <f>E37*675</f>
        <v>0</v>
      </c>
      <c r="M37" s="142">
        <f>E37*675</f>
        <v>0</v>
      </c>
      <c r="N37" s="5"/>
      <c r="O37" s="5"/>
      <c r="P37" s="5"/>
      <c r="Q37" s="5"/>
    </row>
    <row r="38" spans="1:17" ht="18" customHeight="1" thickTop="1" thickBot="1" x14ac:dyDescent="0.25">
      <c r="A38" s="22"/>
      <c r="B38" s="33">
        <v>251001</v>
      </c>
      <c r="C38" s="34" t="s">
        <v>38</v>
      </c>
      <c r="D38" s="35" t="s">
        <v>10</v>
      </c>
      <c r="E38" s="140">
        <f>COUNTIF(V77:V103,5)+COUNTIF(W77:W103,5)+COUNTIF(X77:X103,5)</f>
        <v>0</v>
      </c>
      <c r="F38" s="350">
        <v>94</v>
      </c>
      <c r="G38" s="153">
        <f t="shared" si="4"/>
        <v>0</v>
      </c>
      <c r="H38" s="48">
        <f t="shared" si="5"/>
        <v>0</v>
      </c>
      <c r="I38" s="12"/>
      <c r="K38" s="5"/>
      <c r="L38" s="142">
        <f>E38*750</f>
        <v>0</v>
      </c>
      <c r="M38" s="142">
        <f>E38*750</f>
        <v>0</v>
      </c>
      <c r="N38" s="5"/>
      <c r="O38" s="5"/>
      <c r="P38" s="5"/>
      <c r="Q38" s="5"/>
    </row>
    <row r="39" spans="1:17" ht="18" customHeight="1" thickTop="1" thickBot="1" x14ac:dyDescent="0.25">
      <c r="A39" s="22"/>
      <c r="B39" s="33">
        <v>251201</v>
      </c>
      <c r="C39" s="34" t="s">
        <v>39</v>
      </c>
      <c r="D39" s="35" t="s">
        <v>10</v>
      </c>
      <c r="E39" s="140">
        <f>COUNTIF(V77:V103,6)+COUNTIF(W77:W103,6)+COUNTIF(X77:X103,6)</f>
        <v>0</v>
      </c>
      <c r="F39" s="350">
        <v>117</v>
      </c>
      <c r="G39" s="153">
        <f t="shared" si="4"/>
        <v>0</v>
      </c>
      <c r="H39" s="48">
        <f t="shared" si="5"/>
        <v>0</v>
      </c>
      <c r="I39" s="12"/>
      <c r="K39" s="5"/>
      <c r="L39" s="142">
        <f>E39*900</f>
        <v>0</v>
      </c>
      <c r="M39" s="142">
        <f>E39*900</f>
        <v>0</v>
      </c>
      <c r="N39" s="5"/>
      <c r="O39" s="5"/>
      <c r="P39" s="5"/>
      <c r="Q39" s="5"/>
    </row>
    <row r="40" spans="1:17" ht="18" customHeight="1" thickTop="1" thickBot="1" x14ac:dyDescent="0.25">
      <c r="A40" s="22"/>
      <c r="B40" s="33">
        <v>251401</v>
      </c>
      <c r="C40" s="34" t="s">
        <v>40</v>
      </c>
      <c r="D40" s="35" t="s">
        <v>10</v>
      </c>
      <c r="E40" s="140">
        <f>COUNTIF(V77:V103,7)+COUNTIF(W77:W103,7)+COUNTIF(X77:X103,7)</f>
        <v>0</v>
      </c>
      <c r="F40" s="350">
        <v>130</v>
      </c>
      <c r="G40" s="153">
        <f t="shared" si="4"/>
        <v>0</v>
      </c>
      <c r="H40" s="48">
        <f t="shared" si="5"/>
        <v>0</v>
      </c>
      <c r="I40" s="12"/>
      <c r="K40" s="5"/>
      <c r="L40" s="142">
        <f>E40*1050</f>
        <v>0</v>
      </c>
      <c r="M40" s="142">
        <f>E40*1050</f>
        <v>0</v>
      </c>
      <c r="N40" s="5"/>
      <c r="O40" s="5"/>
      <c r="P40" s="5"/>
      <c r="Q40" s="5"/>
    </row>
    <row r="41" spans="1:17" ht="18" customHeight="1" thickTop="1" thickBot="1" x14ac:dyDescent="0.25">
      <c r="A41" s="22"/>
      <c r="B41" s="33">
        <v>251601</v>
      </c>
      <c r="C41" s="34" t="s">
        <v>41</v>
      </c>
      <c r="D41" s="35" t="s">
        <v>10</v>
      </c>
      <c r="E41" s="140">
        <f>COUNTIF(V77:V103,8)+COUNTIF(W77:W103,8)+COUNTIF(X77:X103,8)</f>
        <v>0</v>
      </c>
      <c r="F41" s="350">
        <v>157</v>
      </c>
      <c r="G41" s="153">
        <f t="shared" si="4"/>
        <v>0</v>
      </c>
      <c r="H41" s="48">
        <f t="shared" si="5"/>
        <v>0</v>
      </c>
      <c r="I41" s="12"/>
      <c r="K41" s="5"/>
      <c r="L41" s="142">
        <f>E41*1200</f>
        <v>0</v>
      </c>
      <c r="M41" s="142">
        <f>E41*1200</f>
        <v>0</v>
      </c>
      <c r="N41" s="5"/>
      <c r="O41" s="5"/>
      <c r="P41" s="5"/>
      <c r="Q41" s="5"/>
    </row>
    <row r="42" spans="1:17" ht="18" customHeight="1" thickTop="1" thickBot="1" x14ac:dyDescent="0.25">
      <c r="A42" s="22"/>
      <c r="B42" s="33">
        <v>251801</v>
      </c>
      <c r="C42" s="34" t="s">
        <v>42</v>
      </c>
      <c r="D42" s="35" t="s">
        <v>10</v>
      </c>
      <c r="E42" s="140">
        <f>COUNTIF(V77:V103,98)+COUNTIF(W77:W103,9)+COUNTIF(X77:X103,9)</f>
        <v>0</v>
      </c>
      <c r="F42" s="350">
        <v>179</v>
      </c>
      <c r="G42" s="153">
        <f t="shared" si="4"/>
        <v>0</v>
      </c>
      <c r="H42" s="48">
        <f t="shared" si="5"/>
        <v>0</v>
      </c>
      <c r="I42" s="12"/>
      <c r="K42" s="5"/>
      <c r="L42" s="142">
        <f>E42*1350</f>
        <v>0</v>
      </c>
      <c r="M42" s="142">
        <f>E42*1350</f>
        <v>0</v>
      </c>
      <c r="N42" s="5"/>
      <c r="O42" s="5"/>
      <c r="P42" s="5"/>
      <c r="Q42" s="5"/>
    </row>
    <row r="43" spans="1:17" ht="18" customHeight="1" thickTop="1" thickBot="1" x14ac:dyDescent="0.25">
      <c r="A43" s="22"/>
      <c r="B43" s="33">
        <v>252001</v>
      </c>
      <c r="C43" s="34" t="s">
        <v>43</v>
      </c>
      <c r="D43" s="35" t="s">
        <v>10</v>
      </c>
      <c r="E43" s="140">
        <f>COUNTIF(V77:V103,10)+COUNTIF(W77:W103,10)+COUNTIF(X77:X103,10)</f>
        <v>0</v>
      </c>
      <c r="F43" s="350">
        <v>186</v>
      </c>
      <c r="G43" s="153">
        <f t="shared" si="4"/>
        <v>0</v>
      </c>
      <c r="H43" s="48">
        <f t="shared" si="5"/>
        <v>0</v>
      </c>
      <c r="I43" s="12"/>
      <c r="K43" s="5"/>
      <c r="L43" s="142">
        <f>E43*1500</f>
        <v>0</v>
      </c>
      <c r="M43" s="142">
        <f>E43*1500</f>
        <v>0</v>
      </c>
      <c r="N43" s="5"/>
      <c r="O43" s="5"/>
      <c r="P43" s="5"/>
      <c r="Q43" s="5"/>
    </row>
    <row r="44" spans="1:17" ht="18" customHeight="1" thickTop="1" thickBot="1" x14ac:dyDescent="0.25">
      <c r="A44" s="22"/>
      <c r="B44" s="33">
        <v>252402</v>
      </c>
      <c r="C44" s="34" t="s">
        <v>44</v>
      </c>
      <c r="D44" s="35" t="s">
        <v>10</v>
      </c>
      <c r="E44" s="140">
        <f>COUNTIF(V77:V103,12)+COUNTIF(W77:W103,12)+COUNTIF(X77:X103,12)</f>
        <v>0</v>
      </c>
      <c r="F44" s="350">
        <v>216</v>
      </c>
      <c r="G44" s="153">
        <f t="shared" si="4"/>
        <v>0</v>
      </c>
      <c r="H44" s="48">
        <f t="shared" si="5"/>
        <v>0</v>
      </c>
      <c r="I44" s="12"/>
      <c r="K44" s="5"/>
      <c r="L44" s="142">
        <f>E44*1800</f>
        <v>0</v>
      </c>
      <c r="M44" s="142">
        <f>E44*1800</f>
        <v>0</v>
      </c>
      <c r="N44" s="5"/>
      <c r="O44" s="5"/>
      <c r="P44" s="5"/>
      <c r="Q44" s="5"/>
    </row>
    <row r="45" spans="1:17" ht="18" customHeight="1" thickTop="1" thickBot="1" x14ac:dyDescent="0.25">
      <c r="A45" s="22"/>
      <c r="B45" s="33">
        <v>253002</v>
      </c>
      <c r="C45" s="34" t="s">
        <v>45</v>
      </c>
      <c r="D45" s="35" t="s">
        <v>10</v>
      </c>
      <c r="E45" s="140">
        <f>COUNTIF(V77:V103,15)+COUNTIF(W77:W103,15)+COUNTIF(X77:X103,15)</f>
        <v>0</v>
      </c>
      <c r="F45" s="350">
        <v>272</v>
      </c>
      <c r="G45" s="153">
        <f t="shared" si="4"/>
        <v>0</v>
      </c>
      <c r="H45" s="48">
        <f t="shared" si="5"/>
        <v>0</v>
      </c>
      <c r="I45" s="12"/>
      <c r="K45" s="5"/>
      <c r="L45" s="142">
        <f>E45*2250</f>
        <v>0</v>
      </c>
      <c r="M45" s="142">
        <f>E45*2250</f>
        <v>0</v>
      </c>
      <c r="N45" s="5"/>
      <c r="O45" s="5"/>
      <c r="P45" s="5"/>
      <c r="Q45" s="5"/>
    </row>
    <row r="46" spans="1:17" ht="18" customHeight="1" thickTop="1" thickBot="1" x14ac:dyDescent="0.25">
      <c r="A46" s="22"/>
      <c r="B46" s="33">
        <v>254002</v>
      </c>
      <c r="C46" s="34" t="s">
        <v>46</v>
      </c>
      <c r="D46" s="35" t="s">
        <v>10</v>
      </c>
      <c r="E46" s="140">
        <f>COUNTIF(V77:V103,20)+COUNTIF(W77:W103,20)+COUNTIF(X77:X103,20)</f>
        <v>0</v>
      </c>
      <c r="F46" s="350">
        <v>377</v>
      </c>
      <c r="G46" s="153">
        <f t="shared" si="4"/>
        <v>0</v>
      </c>
      <c r="H46" s="48">
        <f t="shared" si="5"/>
        <v>0</v>
      </c>
      <c r="I46" s="12"/>
      <c r="K46" s="5"/>
      <c r="L46" s="142">
        <f>E46*3000</f>
        <v>0</v>
      </c>
      <c r="M46" s="142">
        <f>E46*3000</f>
        <v>0</v>
      </c>
      <c r="N46" s="5"/>
      <c r="O46" s="5"/>
      <c r="P46" s="5"/>
      <c r="Q46" s="5"/>
    </row>
    <row r="47" spans="1:17" ht="18" customHeight="1" thickTop="1" thickBot="1" x14ac:dyDescent="0.25">
      <c r="A47" s="159" t="s">
        <v>68</v>
      </c>
      <c r="B47" s="351"/>
      <c r="C47" s="351"/>
      <c r="D47" s="357"/>
      <c r="E47" s="357"/>
      <c r="F47" s="357"/>
      <c r="G47" s="16"/>
      <c r="H47" s="48">
        <f>SUM(H48:H56)</f>
        <v>0</v>
      </c>
      <c r="M47" s="12"/>
      <c r="P47" s="5"/>
    </row>
    <row r="48" spans="1:17" ht="30" customHeight="1" thickTop="1" thickBot="1" x14ac:dyDescent="0.25">
      <c r="A48" s="22"/>
      <c r="B48" s="22">
        <v>825400</v>
      </c>
      <c r="C48" s="66" t="s">
        <v>378</v>
      </c>
      <c r="D48" s="22" t="s">
        <v>10</v>
      </c>
      <c r="E48" s="22">
        <f>P104+Y104</f>
        <v>0</v>
      </c>
      <c r="F48" s="346">
        <v>102</v>
      </c>
      <c r="G48" s="153">
        <f t="shared" ref="G48:G56" si="6">E48*F48</f>
        <v>0</v>
      </c>
      <c r="H48" s="283">
        <f>E48</f>
        <v>0</v>
      </c>
      <c r="M48" s="310"/>
    </row>
    <row r="49" spans="1:13" ht="30" customHeight="1" thickTop="1" thickBot="1" x14ac:dyDescent="0.25">
      <c r="A49" s="22"/>
      <c r="B49" s="22">
        <v>825880</v>
      </c>
      <c r="C49" s="66" t="s">
        <v>103</v>
      </c>
      <c r="D49" s="22" t="s">
        <v>10</v>
      </c>
      <c r="E49" s="22">
        <f>P104+Y104</f>
        <v>0</v>
      </c>
      <c r="F49" s="347">
        <v>92</v>
      </c>
      <c r="G49" s="153">
        <f t="shared" si="6"/>
        <v>0</v>
      </c>
      <c r="H49" s="283">
        <f t="shared" ref="H49:H56" si="7">E49</f>
        <v>0</v>
      </c>
      <c r="M49" s="190"/>
    </row>
    <row r="50" spans="1:13" ht="30" customHeight="1" thickTop="1" thickBot="1" x14ac:dyDescent="0.25">
      <c r="A50" s="22"/>
      <c r="B50" s="22">
        <v>825870</v>
      </c>
      <c r="C50" s="66" t="s">
        <v>366</v>
      </c>
      <c r="D50" s="22" t="s">
        <v>10</v>
      </c>
      <c r="E50" s="22">
        <f>P104+Y104</f>
        <v>0</v>
      </c>
      <c r="F50" s="346">
        <v>84</v>
      </c>
      <c r="G50" s="153">
        <f t="shared" si="6"/>
        <v>0</v>
      </c>
      <c r="H50" s="283">
        <f t="shared" si="7"/>
        <v>0</v>
      </c>
      <c r="M50" s="190"/>
    </row>
    <row r="51" spans="1:13" ht="28.5" customHeight="1" thickTop="1" thickBot="1" x14ac:dyDescent="0.25">
      <c r="A51" s="22"/>
      <c r="B51" s="26">
        <v>825840</v>
      </c>
      <c r="C51" s="29" t="s">
        <v>327</v>
      </c>
      <c r="D51" s="30" t="s">
        <v>10</v>
      </c>
      <c r="E51" s="30">
        <f>P104+Y104</f>
        <v>0</v>
      </c>
      <c r="F51" s="348">
        <v>45</v>
      </c>
      <c r="G51" s="88">
        <f t="shared" si="6"/>
        <v>0</v>
      </c>
      <c r="H51" s="283">
        <f t="shared" si="7"/>
        <v>0</v>
      </c>
    </row>
    <row r="52" spans="1:13" ht="29.25" customHeight="1" thickTop="1" thickBot="1" x14ac:dyDescent="0.25">
      <c r="A52" s="22"/>
      <c r="B52" s="26">
        <v>827000</v>
      </c>
      <c r="C52" s="27" t="s">
        <v>365</v>
      </c>
      <c r="D52" s="28" t="s">
        <v>10</v>
      </c>
      <c r="E52" s="30">
        <f>P104+Y104</f>
        <v>0</v>
      </c>
      <c r="F52" s="348">
        <v>25</v>
      </c>
      <c r="G52" s="88">
        <f t="shared" si="6"/>
        <v>0</v>
      </c>
      <c r="H52" s="283">
        <f t="shared" si="7"/>
        <v>0</v>
      </c>
    </row>
    <row r="53" spans="1:13" ht="27.75" customHeight="1" thickTop="1" thickBot="1" x14ac:dyDescent="0.25">
      <c r="A53" s="22"/>
      <c r="B53" s="26">
        <v>838101</v>
      </c>
      <c r="C53" s="29" t="s">
        <v>59</v>
      </c>
      <c r="D53" s="30" t="s">
        <v>10</v>
      </c>
      <c r="E53" s="30">
        <f>P104+Y104</f>
        <v>0</v>
      </c>
      <c r="F53" s="348">
        <v>26</v>
      </c>
      <c r="G53" s="88">
        <f t="shared" si="6"/>
        <v>0</v>
      </c>
      <c r="H53" s="283">
        <f t="shared" si="7"/>
        <v>0</v>
      </c>
    </row>
    <row r="54" spans="1:13" ht="16.5" customHeight="1" thickTop="1" thickBot="1" x14ac:dyDescent="0.25">
      <c r="A54" s="22"/>
      <c r="B54" s="26">
        <v>860199</v>
      </c>
      <c r="C54" s="29" t="s">
        <v>328</v>
      </c>
      <c r="D54" s="30" t="s">
        <v>10</v>
      </c>
      <c r="E54" s="30"/>
      <c r="F54" s="348">
        <v>13</v>
      </c>
      <c r="G54" s="154">
        <f t="shared" si="6"/>
        <v>0</v>
      </c>
      <c r="H54" s="283">
        <f t="shared" si="7"/>
        <v>0</v>
      </c>
    </row>
    <row r="55" spans="1:13" ht="30" customHeight="1" thickTop="1" thickBot="1" x14ac:dyDescent="0.25">
      <c r="A55" s="93"/>
      <c r="B55" s="96">
        <v>630112</v>
      </c>
      <c r="C55" s="95" t="s">
        <v>391</v>
      </c>
      <c r="D55" s="94" t="s">
        <v>10</v>
      </c>
      <c r="E55" s="40">
        <f>(ROUNDUP(T104*1.05/3,0))</f>
        <v>0</v>
      </c>
      <c r="F55" s="352">
        <v>81</v>
      </c>
      <c r="G55" s="153">
        <f t="shared" si="6"/>
        <v>0</v>
      </c>
      <c r="H55" s="283">
        <f t="shared" si="7"/>
        <v>0</v>
      </c>
      <c r="J55" s="5"/>
    </row>
    <row r="56" spans="1:13" ht="30" customHeight="1" thickTop="1" thickBot="1" x14ac:dyDescent="0.25">
      <c r="A56" s="93"/>
      <c r="B56" s="96">
        <v>630113</v>
      </c>
      <c r="C56" s="95" t="s">
        <v>333</v>
      </c>
      <c r="D56" s="94" t="s">
        <v>10</v>
      </c>
      <c r="E56" s="104">
        <f>(ROUNDUP(T104*1.05/4.8,0))</f>
        <v>0</v>
      </c>
      <c r="F56" s="352">
        <v>123</v>
      </c>
      <c r="G56" s="153">
        <f t="shared" si="6"/>
        <v>0</v>
      </c>
      <c r="H56" s="283">
        <f t="shared" si="7"/>
        <v>0</v>
      </c>
      <c r="J56" s="5"/>
    </row>
    <row r="57" spans="1:13" ht="18" customHeight="1" thickTop="1" thickBot="1" x14ac:dyDescent="0.25">
      <c r="A57" s="390" t="s">
        <v>16</v>
      </c>
      <c r="B57" s="443"/>
      <c r="C57" s="443"/>
      <c r="D57" s="443"/>
      <c r="E57" s="443"/>
      <c r="F57" s="443"/>
      <c r="G57" s="88">
        <f>SUM(G19:G56)</f>
        <v>0</v>
      </c>
      <c r="H57" s="56"/>
    </row>
    <row r="58" spans="1:13" ht="18" customHeight="1" thickTop="1" thickBot="1" x14ac:dyDescent="0.25">
      <c r="A58" s="67">
        <v>0.05</v>
      </c>
      <c r="B58" s="391" t="s">
        <v>67</v>
      </c>
      <c r="C58" s="393"/>
      <c r="D58" s="393"/>
      <c r="E58" s="393"/>
      <c r="F58" s="393"/>
      <c r="G58" s="89">
        <f>G57*(1-A58)</f>
        <v>0</v>
      </c>
      <c r="H58" s="56"/>
    </row>
    <row r="59" spans="1:13" ht="18" customHeight="1" thickTop="1" thickBot="1" x14ac:dyDescent="0.25">
      <c r="A59" s="14" t="s">
        <v>17</v>
      </c>
      <c r="B59" s="17"/>
      <c r="C59" s="17"/>
      <c r="D59" s="17"/>
      <c r="E59" s="17"/>
      <c r="F59" s="17"/>
      <c r="G59" s="89">
        <f>G58*1.21</f>
        <v>0</v>
      </c>
      <c r="H59" s="56"/>
    </row>
    <row r="60" spans="1:13" ht="18" customHeight="1" thickTop="1" x14ac:dyDescent="0.2">
      <c r="A60" s="2"/>
      <c r="B60" s="105"/>
      <c r="C60" s="105"/>
      <c r="D60" s="105"/>
      <c r="E60" s="105"/>
      <c r="F60" s="105"/>
      <c r="G60" s="51"/>
      <c r="H60" s="56"/>
    </row>
    <row r="61" spans="1:13" ht="14.25" customHeight="1" x14ac:dyDescent="0.2">
      <c r="A61" s="389" t="s">
        <v>18</v>
      </c>
      <c r="B61" s="417"/>
      <c r="C61" s="417"/>
      <c r="D61" s="417"/>
      <c r="E61" s="417"/>
      <c r="F61" s="417"/>
      <c r="G61" s="417"/>
    </row>
    <row r="62" spans="1:13" ht="27.75" customHeight="1" x14ac:dyDescent="0.3">
      <c r="A62" s="404" t="s">
        <v>61</v>
      </c>
      <c r="B62" s="414"/>
      <c r="C62" s="414"/>
      <c r="D62" s="414"/>
      <c r="E62" s="414"/>
      <c r="F62" s="414"/>
      <c r="G62" s="414"/>
    </row>
    <row r="63" spans="1:13" ht="17.25" customHeight="1" x14ac:dyDescent="0.2">
      <c r="A63" s="404" t="s">
        <v>337</v>
      </c>
      <c r="B63" s="404"/>
      <c r="C63" s="404"/>
      <c r="D63" s="404"/>
      <c r="E63" s="404"/>
      <c r="F63" s="404"/>
      <c r="G63" s="404"/>
    </row>
    <row r="64" spans="1:13" ht="21" customHeight="1" x14ac:dyDescent="0.3">
      <c r="A64" s="404" t="s">
        <v>208</v>
      </c>
      <c r="B64" s="414"/>
      <c r="C64" s="414"/>
      <c r="D64" s="59">
        <f>SUM(M22:M46)/1000</f>
        <v>0</v>
      </c>
      <c r="E64" s="49"/>
      <c r="F64" s="49"/>
      <c r="G64" s="49"/>
    </row>
    <row r="65" spans="1:30" ht="12.75" customHeight="1" x14ac:dyDescent="0.2">
      <c r="A65" s="404"/>
      <c r="B65" s="404"/>
      <c r="C65" s="404"/>
      <c r="D65" s="404"/>
      <c r="E65" s="404"/>
      <c r="F65" s="404"/>
      <c r="G65" s="404"/>
    </row>
    <row r="66" spans="1:30" ht="15" customHeight="1" x14ac:dyDescent="0.2">
      <c r="A66" s="2" t="s">
        <v>19</v>
      </c>
      <c r="B66" s="4"/>
      <c r="C66" s="4"/>
      <c r="D66" s="4"/>
      <c r="E66" s="4"/>
      <c r="F66" s="4"/>
      <c r="G66" s="4"/>
    </row>
    <row r="67" spans="1:30" ht="21" customHeight="1" x14ac:dyDescent="0.2">
      <c r="A67" s="389" t="s">
        <v>20</v>
      </c>
      <c r="B67" s="417"/>
      <c r="C67" s="417"/>
      <c r="D67" s="417"/>
      <c r="E67" s="417"/>
      <c r="F67" s="417"/>
      <c r="G67" s="417"/>
    </row>
    <row r="68" spans="1:30" ht="18" customHeight="1" x14ac:dyDescent="0.3">
      <c r="A68" s="389" t="s">
        <v>21</v>
      </c>
      <c r="B68" s="409"/>
      <c r="C68" s="409"/>
      <c r="D68" s="409"/>
      <c r="E68" s="409"/>
      <c r="F68" s="409"/>
      <c r="G68" s="409"/>
    </row>
    <row r="69" spans="1:30" ht="14.4" x14ac:dyDescent="0.2">
      <c r="A69" s="389" t="s">
        <v>22</v>
      </c>
      <c r="B69" s="417"/>
      <c r="C69" s="417"/>
      <c r="D69" s="417"/>
      <c r="E69" s="417"/>
      <c r="F69" s="417"/>
      <c r="G69" s="417"/>
    </row>
    <row r="71" spans="1:30" x14ac:dyDescent="0.2">
      <c r="B71" s="1" t="s">
        <v>11</v>
      </c>
      <c r="C71" s="2"/>
      <c r="Q71" s="6" t="s">
        <v>88</v>
      </c>
    </row>
    <row r="72" spans="1:30" ht="14.4" x14ac:dyDescent="0.2">
      <c r="B72" s="373"/>
      <c r="C72" s="374"/>
      <c r="AD72" s="269"/>
    </row>
    <row r="73" spans="1:30" ht="15" thickBot="1" x14ac:dyDescent="0.25">
      <c r="B73" s="373"/>
      <c r="C73" s="374"/>
      <c r="Q73" s="6" t="s">
        <v>88</v>
      </c>
    </row>
    <row r="74" spans="1:30" ht="15" thickBot="1" x14ac:dyDescent="0.25">
      <c r="B74" s="7"/>
      <c r="S74" s="412" t="s">
        <v>180</v>
      </c>
      <c r="T74" s="413"/>
      <c r="U74" s="413"/>
      <c r="V74" s="413"/>
      <c r="W74" s="413"/>
      <c r="X74" s="413"/>
      <c r="Y74" s="413"/>
    </row>
    <row r="75" spans="1:30" ht="15" thickBot="1" x14ac:dyDescent="0.25">
      <c r="B75" s="7" t="s">
        <v>12</v>
      </c>
      <c r="S75" s="327"/>
      <c r="T75" s="328"/>
      <c r="U75" s="328"/>
      <c r="V75" s="328"/>
      <c r="W75" s="328"/>
      <c r="X75" s="328"/>
      <c r="Y75" s="328"/>
    </row>
    <row r="76" spans="1:30" ht="57.75" customHeight="1" thickTop="1" thickBot="1" x14ac:dyDescent="0.25">
      <c r="B76" s="7"/>
      <c r="J76" s="247" t="s">
        <v>71</v>
      </c>
      <c r="K76" s="247" t="s">
        <v>199</v>
      </c>
      <c r="L76" s="247" t="s">
        <v>198</v>
      </c>
      <c r="M76" s="247" t="s">
        <v>298</v>
      </c>
      <c r="N76" s="247" t="s">
        <v>299</v>
      </c>
      <c r="O76" s="247" t="s">
        <v>300</v>
      </c>
      <c r="P76" s="244" t="s">
        <v>78</v>
      </c>
      <c r="S76" s="62" t="s">
        <v>71</v>
      </c>
      <c r="T76" s="62" t="s">
        <v>142</v>
      </c>
      <c r="U76" s="62" t="s">
        <v>185</v>
      </c>
      <c r="V76" s="62" t="s">
        <v>139</v>
      </c>
      <c r="W76" s="62" t="s">
        <v>140</v>
      </c>
      <c r="X76" s="62" t="s">
        <v>141</v>
      </c>
      <c r="Y76" s="70" t="s">
        <v>107</v>
      </c>
      <c r="Z76" s="62" t="s">
        <v>267</v>
      </c>
      <c r="AA76" s="12" t="s">
        <v>252</v>
      </c>
    </row>
    <row r="77" spans="1:30" ht="15.9" customHeight="1" thickTop="1" thickBot="1" x14ac:dyDescent="0.25">
      <c r="I77" s="65"/>
      <c r="J77" s="119" t="s">
        <v>80</v>
      </c>
      <c r="K77" s="176"/>
      <c r="L77" s="74">
        <f>K77*9</f>
        <v>0</v>
      </c>
      <c r="M77" s="125"/>
      <c r="N77" s="125"/>
      <c r="O77" s="125"/>
      <c r="P77" s="63" t="str">
        <f>IF(OR(ISNUMBER(M77), ISNUMBER(N77), ISNUMBER(O77)), 1, "")</f>
        <v/>
      </c>
      <c r="Q77" s="267" t="s">
        <v>200</v>
      </c>
      <c r="S77" s="132" t="s">
        <v>125</v>
      </c>
      <c r="T77" s="122"/>
      <c r="U77" s="113" t="str">
        <f>IF(ISNUMBER(T77),T77*135/150,"")</f>
        <v/>
      </c>
      <c r="V77" s="191"/>
      <c r="W77" s="191"/>
      <c r="X77" s="191"/>
      <c r="Y77" s="63" t="str">
        <f>IF(OR(ISNUMBER(V77), ISNUMBER(W77), ISNUMBER(X77)), 1, "")</f>
        <v/>
      </c>
      <c r="Z77" s="242">
        <v>1</v>
      </c>
      <c r="AA77" s="270" t="s">
        <v>235</v>
      </c>
    </row>
    <row r="78" spans="1:30" ht="15.9" customHeight="1" thickTop="1" thickBot="1" x14ac:dyDescent="0.25">
      <c r="I78" s="112"/>
      <c r="J78" s="119" t="s">
        <v>81</v>
      </c>
      <c r="K78" s="176"/>
      <c r="L78" s="74">
        <f t="shared" ref="L78:L103" si="8">K78*9</f>
        <v>0</v>
      </c>
      <c r="M78" s="125"/>
      <c r="N78" s="125"/>
      <c r="O78" s="125"/>
      <c r="P78" s="63" t="str">
        <f t="shared" ref="P78:P89" si="9">IF(OR(ISNUMBER(M78), ISNUMBER(N78), ISNUMBER(O78)), 1, "")</f>
        <v/>
      </c>
      <c r="Q78" s="267" t="s">
        <v>201</v>
      </c>
      <c r="R78" s="137"/>
      <c r="S78" s="138" t="s">
        <v>81</v>
      </c>
      <c r="T78" s="122"/>
      <c r="U78" s="113" t="str">
        <f t="shared" ref="U78:U90" si="10">IF(ISNUMBER(T78),T78*135/150,"")</f>
        <v/>
      </c>
      <c r="V78" s="192"/>
      <c r="W78" s="192"/>
      <c r="X78" s="192"/>
      <c r="Y78" s="63" t="str">
        <f t="shared" ref="Y78:Y89" si="11">IF(OR(ISNUMBER(V78), ISNUMBER(W78), ISNUMBER(X78)), 1, "")</f>
        <v/>
      </c>
      <c r="Z78" s="242" t="s">
        <v>253</v>
      </c>
      <c r="AA78" s="270" t="s">
        <v>236</v>
      </c>
    </row>
    <row r="79" spans="1:30" ht="15.9" customHeight="1" thickTop="1" thickBot="1" x14ac:dyDescent="0.25">
      <c r="I79" s="112"/>
      <c r="J79" s="119" t="s">
        <v>82</v>
      </c>
      <c r="K79" s="176"/>
      <c r="L79" s="74">
        <f t="shared" si="8"/>
        <v>0</v>
      </c>
      <c r="M79" s="125"/>
      <c r="N79" s="125"/>
      <c r="O79" s="125"/>
      <c r="P79" s="63" t="str">
        <f t="shared" si="9"/>
        <v/>
      </c>
      <c r="Q79" s="267" t="s">
        <v>202</v>
      </c>
      <c r="R79" s="133"/>
      <c r="S79" s="138" t="s">
        <v>82</v>
      </c>
      <c r="T79" s="122"/>
      <c r="U79" s="113" t="str">
        <f t="shared" si="10"/>
        <v/>
      </c>
      <c r="V79" s="192"/>
      <c r="W79" s="192"/>
      <c r="X79" s="192"/>
      <c r="Y79" s="63" t="str">
        <f t="shared" si="11"/>
        <v/>
      </c>
      <c r="Z79" s="242">
        <v>2</v>
      </c>
      <c r="AA79" s="270" t="s">
        <v>237</v>
      </c>
    </row>
    <row r="80" spans="1:30" ht="15.9" customHeight="1" thickTop="1" thickBot="1" x14ac:dyDescent="0.25">
      <c r="I80" s="112"/>
      <c r="J80" s="119" t="s">
        <v>83</v>
      </c>
      <c r="K80" s="176"/>
      <c r="L80" s="74">
        <f t="shared" si="8"/>
        <v>0</v>
      </c>
      <c r="M80" s="125"/>
      <c r="N80" s="125"/>
      <c r="O80" s="125"/>
      <c r="P80" s="63" t="str">
        <f t="shared" si="9"/>
        <v/>
      </c>
      <c r="Q80" s="267" t="s">
        <v>203</v>
      </c>
      <c r="R80" s="133"/>
      <c r="S80" s="138" t="s">
        <v>83</v>
      </c>
      <c r="T80" s="122"/>
      <c r="U80" s="113" t="str">
        <f t="shared" si="10"/>
        <v/>
      </c>
      <c r="V80" s="192"/>
      <c r="W80" s="192"/>
      <c r="X80" s="192"/>
      <c r="Y80" s="63" t="str">
        <f t="shared" si="11"/>
        <v/>
      </c>
      <c r="Z80" s="242" t="s">
        <v>254</v>
      </c>
      <c r="AA80" s="270" t="s">
        <v>238</v>
      </c>
    </row>
    <row r="81" spans="9:27" ht="15.9" customHeight="1" thickTop="1" thickBot="1" x14ac:dyDescent="0.25">
      <c r="I81" s="112"/>
      <c r="J81" s="119" t="s">
        <v>73</v>
      </c>
      <c r="K81" s="176"/>
      <c r="L81" s="74">
        <f t="shared" si="8"/>
        <v>0</v>
      </c>
      <c r="M81" s="125"/>
      <c r="N81" s="125"/>
      <c r="O81" s="125"/>
      <c r="P81" s="63" t="str">
        <f t="shared" si="9"/>
        <v/>
      </c>
      <c r="Q81" s="267" t="s">
        <v>204</v>
      </c>
      <c r="R81" s="133"/>
      <c r="S81" s="138" t="s">
        <v>80</v>
      </c>
      <c r="T81" s="122"/>
      <c r="U81" s="113" t="str">
        <f t="shared" si="10"/>
        <v/>
      </c>
      <c r="V81" s="192"/>
      <c r="W81" s="192"/>
      <c r="X81" s="192"/>
      <c r="Y81" s="63" t="str">
        <f t="shared" si="11"/>
        <v/>
      </c>
      <c r="Z81" s="242">
        <v>3</v>
      </c>
      <c r="AA81" s="270" t="s">
        <v>239</v>
      </c>
    </row>
    <row r="82" spans="9:27" ht="15.9" customHeight="1" thickTop="1" thickBot="1" x14ac:dyDescent="0.25">
      <c r="I82" s="112"/>
      <c r="J82" s="119" t="s">
        <v>73</v>
      </c>
      <c r="K82" s="176"/>
      <c r="L82" s="74">
        <f t="shared" si="8"/>
        <v>0</v>
      </c>
      <c r="M82" s="125"/>
      <c r="N82" s="125"/>
      <c r="O82" s="125"/>
      <c r="P82" s="63" t="str">
        <f t="shared" si="9"/>
        <v/>
      </c>
      <c r="Q82" s="268" t="s">
        <v>205</v>
      </c>
      <c r="R82" s="133"/>
      <c r="S82" s="139" t="s">
        <v>73</v>
      </c>
      <c r="T82" s="122"/>
      <c r="U82" s="113" t="str">
        <f t="shared" si="10"/>
        <v/>
      </c>
      <c r="V82" s="192"/>
      <c r="W82" s="192"/>
      <c r="X82" s="192"/>
      <c r="Y82" s="63" t="str">
        <f t="shared" si="11"/>
        <v/>
      </c>
      <c r="Z82" s="242" t="s">
        <v>255</v>
      </c>
      <c r="AA82" s="270" t="s">
        <v>240</v>
      </c>
    </row>
    <row r="83" spans="9:27" ht="15.9" customHeight="1" thickTop="1" thickBot="1" x14ac:dyDescent="0.25">
      <c r="I83" s="112" t="s">
        <v>79</v>
      </c>
      <c r="J83" s="119" t="s">
        <v>74</v>
      </c>
      <c r="K83" s="176"/>
      <c r="L83" s="74">
        <f t="shared" si="8"/>
        <v>0</v>
      </c>
      <c r="M83" s="125"/>
      <c r="N83" s="125"/>
      <c r="O83" s="125"/>
      <c r="P83" s="63" t="str">
        <f t="shared" si="9"/>
        <v/>
      </c>
      <c r="Q83" s="268" t="s">
        <v>206</v>
      </c>
      <c r="R83" s="112" t="s">
        <v>79</v>
      </c>
      <c r="S83" s="139" t="s">
        <v>74</v>
      </c>
      <c r="T83" s="122"/>
      <c r="U83" s="113" t="str">
        <f t="shared" si="10"/>
        <v/>
      </c>
      <c r="V83" s="192"/>
      <c r="W83" s="192"/>
      <c r="X83" s="192"/>
      <c r="Y83" s="63" t="str">
        <f t="shared" si="11"/>
        <v/>
      </c>
      <c r="Z83" s="242">
        <v>4</v>
      </c>
      <c r="AA83" s="270" t="s">
        <v>241</v>
      </c>
    </row>
    <row r="84" spans="9:27" ht="15.9" customHeight="1" thickTop="1" thickBot="1" x14ac:dyDescent="0.25">
      <c r="I84" s="145">
        <f>SUM(K77:K89)</f>
        <v>0</v>
      </c>
      <c r="J84" s="119" t="s">
        <v>77</v>
      </c>
      <c r="K84" s="176"/>
      <c r="L84" s="74">
        <f t="shared" si="8"/>
        <v>0</v>
      </c>
      <c r="M84" s="125"/>
      <c r="N84" s="125"/>
      <c r="O84" s="125"/>
      <c r="P84" s="63" t="str">
        <f t="shared" si="9"/>
        <v/>
      </c>
      <c r="R84" s="145">
        <f>SUM(T77:T89)</f>
        <v>0</v>
      </c>
      <c r="S84" s="139" t="s">
        <v>115</v>
      </c>
      <c r="T84" s="122"/>
      <c r="U84" s="113" t="str">
        <f t="shared" si="10"/>
        <v/>
      </c>
      <c r="V84" s="192"/>
      <c r="W84" s="192"/>
      <c r="X84" s="192"/>
      <c r="Y84" s="63" t="str">
        <f t="shared" si="11"/>
        <v/>
      </c>
      <c r="Z84" s="242" t="s">
        <v>256</v>
      </c>
      <c r="AA84" s="270" t="s">
        <v>242</v>
      </c>
    </row>
    <row r="85" spans="9:27" ht="15.9" customHeight="1" thickTop="1" thickBot="1" x14ac:dyDescent="0.25">
      <c r="I85" s="112" t="s">
        <v>129</v>
      </c>
      <c r="J85" s="119" t="s">
        <v>77</v>
      </c>
      <c r="K85" s="176"/>
      <c r="L85" s="74">
        <f t="shared" si="8"/>
        <v>0</v>
      </c>
      <c r="M85" s="125"/>
      <c r="N85" s="125"/>
      <c r="O85" s="125"/>
      <c r="P85" s="63" t="str">
        <f t="shared" si="9"/>
        <v/>
      </c>
      <c r="R85" s="112" t="s">
        <v>129</v>
      </c>
      <c r="S85" s="139" t="s">
        <v>77</v>
      </c>
      <c r="T85" s="122"/>
      <c r="U85" s="113" t="str">
        <f t="shared" si="10"/>
        <v/>
      </c>
      <c r="V85" s="192"/>
      <c r="W85" s="192"/>
      <c r="X85" s="192"/>
      <c r="Y85" s="63" t="str">
        <f t="shared" si="11"/>
        <v/>
      </c>
      <c r="Z85" s="242">
        <v>5</v>
      </c>
      <c r="AA85" s="270" t="s">
        <v>243</v>
      </c>
    </row>
    <row r="86" spans="9:27" ht="15.9" customHeight="1" thickTop="1" thickBot="1" x14ac:dyDescent="0.25">
      <c r="I86" s="133"/>
      <c r="J86" s="119" t="s">
        <v>76</v>
      </c>
      <c r="K86" s="176"/>
      <c r="L86" s="74">
        <f t="shared" si="8"/>
        <v>0</v>
      </c>
      <c r="M86" s="125"/>
      <c r="N86" s="125"/>
      <c r="O86" s="125"/>
      <c r="P86" s="63" t="str">
        <f t="shared" si="9"/>
        <v/>
      </c>
      <c r="R86" s="133"/>
      <c r="S86" s="139" t="s">
        <v>76</v>
      </c>
      <c r="T86" s="122"/>
      <c r="U86" s="113" t="str">
        <f t="shared" si="10"/>
        <v/>
      </c>
      <c r="V86" s="192"/>
      <c r="W86" s="192"/>
      <c r="X86" s="192"/>
      <c r="Y86" s="63" t="str">
        <f t="shared" si="11"/>
        <v/>
      </c>
      <c r="Z86" s="242">
        <v>6</v>
      </c>
      <c r="AA86" s="270" t="s">
        <v>244</v>
      </c>
    </row>
    <row r="87" spans="9:27" ht="15.9" customHeight="1" thickTop="1" thickBot="1" x14ac:dyDescent="0.25">
      <c r="I87" s="133"/>
      <c r="J87" s="226" t="s">
        <v>75</v>
      </c>
      <c r="K87" s="193"/>
      <c r="L87" s="74">
        <f t="shared" si="8"/>
        <v>0</v>
      </c>
      <c r="M87" s="195"/>
      <c r="N87" s="195"/>
      <c r="O87" s="195"/>
      <c r="P87" s="63" t="str">
        <f t="shared" si="9"/>
        <v/>
      </c>
      <c r="R87" s="133"/>
      <c r="S87" s="209" t="s">
        <v>75</v>
      </c>
      <c r="T87" s="122"/>
      <c r="U87" s="113" t="str">
        <f t="shared" si="10"/>
        <v/>
      </c>
      <c r="V87" s="192"/>
      <c r="W87" s="192"/>
      <c r="X87" s="192"/>
      <c r="Y87" s="63" t="str">
        <f t="shared" si="11"/>
        <v/>
      </c>
      <c r="Z87" s="242">
        <v>7</v>
      </c>
      <c r="AA87" s="270" t="s">
        <v>245</v>
      </c>
    </row>
    <row r="88" spans="9:27" ht="15.9" customHeight="1" thickTop="1" thickBot="1" x14ac:dyDescent="0.25">
      <c r="I88" s="133"/>
      <c r="J88" s="71" t="s">
        <v>75</v>
      </c>
      <c r="K88" s="176"/>
      <c r="L88" s="74">
        <f t="shared" si="8"/>
        <v>0</v>
      </c>
      <c r="M88" s="125"/>
      <c r="N88" s="125"/>
      <c r="O88" s="125"/>
      <c r="P88" s="63" t="str">
        <f t="shared" si="9"/>
        <v/>
      </c>
      <c r="R88" s="133"/>
      <c r="S88" s="209" t="s">
        <v>75</v>
      </c>
      <c r="T88" s="122"/>
      <c r="U88" s="113" t="str">
        <f t="shared" si="10"/>
        <v/>
      </c>
      <c r="V88" s="192"/>
      <c r="W88" s="192"/>
      <c r="X88" s="192"/>
      <c r="Y88" s="63" t="str">
        <f t="shared" si="11"/>
        <v/>
      </c>
      <c r="Z88" s="242">
        <v>8</v>
      </c>
      <c r="AA88" s="270" t="s">
        <v>246</v>
      </c>
    </row>
    <row r="89" spans="9:27" ht="15.9" customHeight="1" thickTop="1" thickBot="1" x14ac:dyDescent="0.25">
      <c r="I89" s="136"/>
      <c r="J89" s="71" t="s">
        <v>75</v>
      </c>
      <c r="K89" s="176"/>
      <c r="L89" s="74">
        <f t="shared" si="8"/>
        <v>0</v>
      </c>
      <c r="M89" s="125"/>
      <c r="N89" s="125"/>
      <c r="O89" s="125"/>
      <c r="P89" s="63" t="str">
        <f t="shared" si="9"/>
        <v/>
      </c>
      <c r="R89" s="136"/>
      <c r="S89" s="139" t="s">
        <v>75</v>
      </c>
      <c r="T89" s="122"/>
      <c r="U89" s="113" t="str">
        <f t="shared" si="10"/>
        <v/>
      </c>
      <c r="V89" s="192"/>
      <c r="W89" s="192"/>
      <c r="X89" s="192"/>
      <c r="Y89" s="63" t="str">
        <f t="shared" si="11"/>
        <v/>
      </c>
      <c r="Z89" s="242">
        <v>9</v>
      </c>
      <c r="AA89" s="270" t="s">
        <v>247</v>
      </c>
    </row>
    <row r="90" spans="9:27" ht="15.9" customHeight="1" thickTop="1" thickBot="1" x14ac:dyDescent="0.25">
      <c r="I90" s="210"/>
      <c r="J90" s="213"/>
      <c r="K90" s="100"/>
      <c r="L90" s="115"/>
      <c r="M90" s="100"/>
      <c r="N90" s="100"/>
      <c r="O90" s="100"/>
      <c r="P90" s="100"/>
      <c r="Q90" s="130"/>
      <c r="S90" s="100"/>
      <c r="T90" s="131"/>
      <c r="U90" s="113" t="str">
        <f t="shared" si="10"/>
        <v/>
      </c>
      <c r="V90" s="167"/>
      <c r="W90" s="167"/>
      <c r="X90" s="167"/>
      <c r="Y90" s="100"/>
      <c r="Z90" s="242">
        <v>10</v>
      </c>
      <c r="AA90" s="270" t="s">
        <v>248</v>
      </c>
    </row>
    <row r="91" spans="9:27" ht="15.9" customHeight="1" thickTop="1" thickBot="1" x14ac:dyDescent="0.25">
      <c r="I91" s="137"/>
      <c r="J91" s="71" t="s">
        <v>76</v>
      </c>
      <c r="K91" s="176"/>
      <c r="L91" s="74">
        <f t="shared" si="8"/>
        <v>0</v>
      </c>
      <c r="M91" s="125"/>
      <c r="N91" s="125"/>
      <c r="O91" s="125"/>
      <c r="P91" s="63" t="str">
        <f>IF(OR(ISNUMBER(M91), ISNUMBER(N91), ISNUMBER(O91)), 1, "")</f>
        <v/>
      </c>
      <c r="R91" s="65"/>
      <c r="S91" s="138" t="s">
        <v>73</v>
      </c>
      <c r="T91" s="122"/>
      <c r="U91" s="113" t="str">
        <f>IF(ISNUMBER(T91),T91*135/150,"")</f>
        <v/>
      </c>
      <c r="V91" s="192"/>
      <c r="W91" s="192"/>
      <c r="X91" s="192"/>
      <c r="Y91" s="63" t="str">
        <f>IF(OR(ISNUMBER(V91), ISNUMBER(W91), ISNUMBER(X91)), 1, "")</f>
        <v/>
      </c>
      <c r="Z91" s="242">
        <v>12</v>
      </c>
      <c r="AA91" s="270" t="s">
        <v>249</v>
      </c>
    </row>
    <row r="92" spans="9:27" ht="15.9" customHeight="1" thickTop="1" thickBot="1" x14ac:dyDescent="0.25">
      <c r="I92" s="206"/>
      <c r="J92" s="119" t="s">
        <v>85</v>
      </c>
      <c r="K92" s="176"/>
      <c r="L92" s="74">
        <f t="shared" si="8"/>
        <v>0</v>
      </c>
      <c r="M92" s="125"/>
      <c r="N92" s="125"/>
      <c r="O92" s="125"/>
      <c r="P92" s="63" t="str">
        <f t="shared" ref="P92:P103" si="12">IF(OR(ISNUMBER(M92), ISNUMBER(N92), ISNUMBER(O92)), 1, "")</f>
        <v/>
      </c>
      <c r="R92" s="112"/>
      <c r="S92" s="138" t="s">
        <v>85</v>
      </c>
      <c r="T92" s="122"/>
      <c r="U92" s="113" t="str">
        <f t="shared" ref="U92:U103" si="13">IF(ISNUMBER(T92),T92*135/150,"")</f>
        <v/>
      </c>
      <c r="V92" s="192"/>
      <c r="W92" s="192"/>
      <c r="X92" s="192"/>
      <c r="Y92" s="63" t="str">
        <f t="shared" ref="Y92:Y103" si="14">IF(OR(ISNUMBER(V92), ISNUMBER(W92), ISNUMBER(X92)), 1, "")</f>
        <v/>
      </c>
      <c r="Z92" s="242">
        <v>15</v>
      </c>
      <c r="AA92" s="270" t="s">
        <v>250</v>
      </c>
    </row>
    <row r="93" spans="9:27" ht="15.9" customHeight="1" thickTop="1" thickBot="1" x14ac:dyDescent="0.25">
      <c r="I93" s="112"/>
      <c r="J93" s="119" t="s">
        <v>86</v>
      </c>
      <c r="K93" s="176"/>
      <c r="L93" s="74">
        <f t="shared" si="8"/>
        <v>0</v>
      </c>
      <c r="M93" s="125"/>
      <c r="N93" s="125"/>
      <c r="O93" s="125"/>
      <c r="P93" s="63" t="str">
        <f t="shared" si="12"/>
        <v/>
      </c>
      <c r="R93" s="112"/>
      <c r="S93" s="138" t="s">
        <v>86</v>
      </c>
      <c r="T93" s="122"/>
      <c r="U93" s="113" t="str">
        <f t="shared" si="13"/>
        <v/>
      </c>
      <c r="V93" s="192"/>
      <c r="W93" s="192"/>
      <c r="X93" s="192"/>
      <c r="Y93" s="63" t="str">
        <f t="shared" si="14"/>
        <v/>
      </c>
      <c r="Z93" s="242">
        <v>20</v>
      </c>
      <c r="AA93" s="270" t="s">
        <v>251</v>
      </c>
    </row>
    <row r="94" spans="9:27" ht="15.9" customHeight="1" thickTop="1" thickBot="1" x14ac:dyDescent="0.25">
      <c r="I94" s="112"/>
      <c r="J94" s="119" t="s">
        <v>75</v>
      </c>
      <c r="K94" s="176"/>
      <c r="L94" s="74">
        <f t="shared" si="8"/>
        <v>0</v>
      </c>
      <c r="M94" s="125"/>
      <c r="N94" s="125"/>
      <c r="O94" s="125"/>
      <c r="P94" s="63" t="str">
        <f t="shared" si="12"/>
        <v/>
      </c>
      <c r="R94" s="112"/>
      <c r="S94" s="138" t="s">
        <v>75</v>
      </c>
      <c r="T94" s="122"/>
      <c r="U94" s="113" t="str">
        <f t="shared" si="13"/>
        <v/>
      </c>
      <c r="V94" s="192"/>
      <c r="W94" s="192"/>
      <c r="X94" s="192"/>
      <c r="Y94" s="63" t="str">
        <f t="shared" si="14"/>
        <v/>
      </c>
      <c r="Z94" s="100"/>
    </row>
    <row r="95" spans="9:27" ht="15.9" customHeight="1" thickTop="1" thickBot="1" x14ac:dyDescent="0.25">
      <c r="I95" s="112"/>
      <c r="J95" s="119" t="s">
        <v>75</v>
      </c>
      <c r="K95" s="176"/>
      <c r="L95" s="74">
        <f t="shared" si="8"/>
        <v>0</v>
      </c>
      <c r="M95" s="125"/>
      <c r="N95" s="125"/>
      <c r="O95" s="125"/>
      <c r="P95" s="63" t="str">
        <f t="shared" si="12"/>
        <v/>
      </c>
      <c r="R95" s="112" t="s">
        <v>84</v>
      </c>
      <c r="S95" s="138" t="s">
        <v>75</v>
      </c>
      <c r="T95" s="122"/>
      <c r="U95" s="113" t="str">
        <f t="shared" si="13"/>
        <v/>
      </c>
      <c r="V95" s="192"/>
      <c r="W95" s="192"/>
      <c r="X95" s="192"/>
      <c r="Y95" s="63" t="str">
        <f t="shared" si="14"/>
        <v/>
      </c>
      <c r="Z95" s="100"/>
    </row>
    <row r="96" spans="9:27" ht="15.9" customHeight="1" thickTop="1" thickBot="1" x14ac:dyDescent="0.25">
      <c r="I96" s="112"/>
      <c r="J96" s="119" t="s">
        <v>75</v>
      </c>
      <c r="K96" s="176"/>
      <c r="L96" s="74">
        <f t="shared" si="8"/>
        <v>0</v>
      </c>
      <c r="M96" s="125"/>
      <c r="N96" s="125"/>
      <c r="O96" s="125"/>
      <c r="P96" s="63" t="str">
        <f t="shared" si="12"/>
        <v/>
      </c>
      <c r="R96" s="145">
        <f>SUM(T91:T103)</f>
        <v>0</v>
      </c>
      <c r="S96" s="138" t="s">
        <v>75</v>
      </c>
      <c r="T96" s="122"/>
      <c r="U96" s="113" t="str">
        <f t="shared" si="13"/>
        <v/>
      </c>
      <c r="V96" s="192"/>
      <c r="W96" s="192"/>
      <c r="X96" s="192"/>
      <c r="Y96" s="63" t="str">
        <f t="shared" si="14"/>
        <v/>
      </c>
      <c r="Z96" s="100"/>
    </row>
    <row r="97" spans="9:26" ht="15.9" customHeight="1" thickTop="1" thickBot="1" x14ac:dyDescent="0.25">
      <c r="I97" s="112" t="s">
        <v>84</v>
      </c>
      <c r="J97" s="119" t="s">
        <v>77</v>
      </c>
      <c r="K97" s="176"/>
      <c r="L97" s="74">
        <f t="shared" si="8"/>
        <v>0</v>
      </c>
      <c r="M97" s="125"/>
      <c r="N97" s="125"/>
      <c r="O97" s="125"/>
      <c r="P97" s="63" t="str">
        <f t="shared" si="12"/>
        <v/>
      </c>
      <c r="R97" s="112" t="s">
        <v>129</v>
      </c>
      <c r="S97" s="138" t="s">
        <v>77</v>
      </c>
      <c r="T97" s="122"/>
      <c r="U97" s="113" t="str">
        <f t="shared" si="13"/>
        <v/>
      </c>
      <c r="V97" s="192"/>
      <c r="W97" s="192"/>
      <c r="X97" s="192"/>
      <c r="Y97" s="63" t="str">
        <f t="shared" si="14"/>
        <v/>
      </c>
      <c r="Z97" s="100"/>
    </row>
    <row r="98" spans="9:26" ht="15.9" customHeight="1" thickTop="1" thickBot="1" x14ac:dyDescent="0.25">
      <c r="I98" s="145">
        <f>SUM(K91:K103)</f>
        <v>0</v>
      </c>
      <c r="J98" s="119" t="s">
        <v>77</v>
      </c>
      <c r="K98" s="176"/>
      <c r="L98" s="74">
        <f t="shared" si="8"/>
        <v>0</v>
      </c>
      <c r="M98" s="124"/>
      <c r="N98" s="124"/>
      <c r="O98" s="124"/>
      <c r="P98" s="63" t="str">
        <f t="shared" si="12"/>
        <v/>
      </c>
      <c r="R98" s="133"/>
      <c r="S98" s="138" t="s">
        <v>77</v>
      </c>
      <c r="T98" s="122"/>
      <c r="U98" s="113" t="str">
        <f t="shared" si="13"/>
        <v/>
      </c>
      <c r="V98" s="191"/>
      <c r="W98" s="191"/>
      <c r="X98" s="191"/>
      <c r="Y98" s="63" t="str">
        <f t="shared" si="14"/>
        <v/>
      </c>
      <c r="Z98" s="100"/>
    </row>
    <row r="99" spans="9:26" ht="15.9" customHeight="1" thickTop="1" thickBot="1" x14ac:dyDescent="0.25">
      <c r="I99" s="112" t="s">
        <v>129</v>
      </c>
      <c r="J99" s="119" t="s">
        <v>77</v>
      </c>
      <c r="K99" s="176"/>
      <c r="L99" s="74">
        <f t="shared" si="8"/>
        <v>0</v>
      </c>
      <c r="M99" s="124"/>
      <c r="N99" s="124"/>
      <c r="O99" s="124"/>
      <c r="P99" s="63" t="str">
        <f t="shared" si="12"/>
        <v/>
      </c>
      <c r="R99" s="133"/>
      <c r="S99" s="138" t="s">
        <v>77</v>
      </c>
      <c r="T99" s="122"/>
      <c r="U99" s="113" t="str">
        <f t="shared" si="13"/>
        <v/>
      </c>
      <c r="V99" s="191"/>
      <c r="W99" s="191"/>
      <c r="X99" s="191"/>
      <c r="Y99" s="63" t="str">
        <f t="shared" si="14"/>
        <v/>
      </c>
      <c r="Z99" s="100"/>
    </row>
    <row r="100" spans="9:26" ht="15.9" customHeight="1" thickTop="1" thickBot="1" x14ac:dyDescent="0.25">
      <c r="I100" s="133"/>
      <c r="J100" s="119" t="s">
        <v>73</v>
      </c>
      <c r="K100" s="176"/>
      <c r="L100" s="74">
        <f t="shared" si="8"/>
        <v>0</v>
      </c>
      <c r="M100" s="124"/>
      <c r="N100" s="124"/>
      <c r="O100" s="124"/>
      <c r="P100" s="63" t="str">
        <f t="shared" si="12"/>
        <v/>
      </c>
      <c r="R100" s="133"/>
      <c r="S100" s="138" t="s">
        <v>73</v>
      </c>
      <c r="T100" s="122"/>
      <c r="U100" s="113" t="str">
        <f t="shared" si="13"/>
        <v/>
      </c>
      <c r="V100" s="191"/>
      <c r="W100" s="191"/>
      <c r="X100" s="191"/>
      <c r="Y100" s="63" t="str">
        <f t="shared" si="14"/>
        <v/>
      </c>
      <c r="Z100" s="100"/>
    </row>
    <row r="101" spans="9:26" ht="15.9" customHeight="1" thickTop="1" thickBot="1" x14ac:dyDescent="0.25">
      <c r="I101" s="133"/>
      <c r="J101" s="226" t="s">
        <v>75</v>
      </c>
      <c r="K101" s="176"/>
      <c r="L101" s="74">
        <f t="shared" si="8"/>
        <v>0</v>
      </c>
      <c r="M101" s="124"/>
      <c r="N101" s="124"/>
      <c r="O101" s="124"/>
      <c r="P101" s="63" t="str">
        <f t="shared" si="12"/>
        <v/>
      </c>
      <c r="R101" s="133"/>
      <c r="S101" s="209" t="s">
        <v>75</v>
      </c>
      <c r="T101" s="122"/>
      <c r="U101" s="113" t="str">
        <f t="shared" si="13"/>
        <v/>
      </c>
      <c r="V101" s="191"/>
      <c r="W101" s="191"/>
      <c r="X101" s="191"/>
      <c r="Y101" s="63" t="str">
        <f t="shared" si="14"/>
        <v/>
      </c>
      <c r="Z101" s="100"/>
    </row>
    <row r="102" spans="9:26" ht="15.9" customHeight="1" thickTop="1" thickBot="1" x14ac:dyDescent="0.25">
      <c r="I102" s="133"/>
      <c r="J102" s="71" t="s">
        <v>75</v>
      </c>
      <c r="K102" s="176"/>
      <c r="L102" s="74">
        <f t="shared" si="8"/>
        <v>0</v>
      </c>
      <c r="M102" s="124"/>
      <c r="N102" s="124"/>
      <c r="O102" s="124"/>
      <c r="P102" s="63" t="str">
        <f t="shared" si="12"/>
        <v/>
      </c>
      <c r="R102" s="206"/>
      <c r="S102" s="209" t="s">
        <v>75</v>
      </c>
      <c r="T102" s="122"/>
      <c r="U102" s="113" t="str">
        <f t="shared" si="13"/>
        <v/>
      </c>
      <c r="V102" s="192"/>
      <c r="W102" s="192"/>
      <c r="X102" s="192"/>
      <c r="Y102" s="63" t="str">
        <f t="shared" si="14"/>
        <v/>
      </c>
    </row>
    <row r="103" spans="9:26" ht="15.9" customHeight="1" thickTop="1" thickBot="1" x14ac:dyDescent="0.25">
      <c r="I103" s="133"/>
      <c r="J103" s="71" t="s">
        <v>75</v>
      </c>
      <c r="K103" s="176"/>
      <c r="L103" s="74">
        <f t="shared" si="8"/>
        <v>0</v>
      </c>
      <c r="M103" s="124"/>
      <c r="N103" s="124"/>
      <c r="O103" s="124"/>
      <c r="P103" s="63" t="str">
        <f t="shared" si="12"/>
        <v/>
      </c>
      <c r="R103" s="207"/>
      <c r="S103" s="139" t="s">
        <v>75</v>
      </c>
      <c r="T103" s="122"/>
      <c r="U103" s="113" t="str">
        <f t="shared" si="13"/>
        <v/>
      </c>
      <c r="V103" s="192"/>
      <c r="W103" s="192"/>
      <c r="X103" s="192"/>
      <c r="Y103" s="63" t="str">
        <f t="shared" si="14"/>
        <v/>
      </c>
    </row>
    <row r="104" spans="9:26" ht="15.6" thickTop="1" thickBot="1" x14ac:dyDescent="0.35">
      <c r="I104" s="136"/>
      <c r="J104" s="103" t="s">
        <v>209</v>
      </c>
      <c r="K104" s="198">
        <f>SUM(K77:K103)</f>
        <v>0</v>
      </c>
      <c r="L104"/>
      <c r="M104"/>
      <c r="N104"/>
      <c r="O104"/>
      <c r="P104" s="197">
        <f>SUM(P77:P103)</f>
        <v>0</v>
      </c>
      <c r="S104" s="212" t="s">
        <v>209</v>
      </c>
      <c r="T104" s="183">
        <f>R84+R96</f>
        <v>0</v>
      </c>
      <c r="U104" s="146"/>
      <c r="V104" s="147"/>
      <c r="W104" s="147"/>
      <c r="X104" s="147"/>
      <c r="Y104" s="118">
        <f>SUM(Y77:Y103)</f>
        <v>0</v>
      </c>
    </row>
    <row r="105" spans="9:26" ht="14.4" thickTop="1" x14ac:dyDescent="0.2">
      <c r="K105" s="99" t="s">
        <v>129</v>
      </c>
      <c r="T105" s="99" t="s">
        <v>129</v>
      </c>
      <c r="U105" s="99"/>
      <c r="V105" s="99"/>
      <c r="W105" s="99"/>
      <c r="X105" s="99"/>
      <c r="Y105" s="99" t="s">
        <v>128</v>
      </c>
    </row>
  </sheetData>
  <autoFilter ref="H17:H59" xr:uid="{00000000-0009-0000-0000-000000000000}"/>
  <mergeCells count="27">
    <mergeCell ref="D16:D17"/>
    <mergeCell ref="E16:E17"/>
    <mergeCell ref="A57:F57"/>
    <mergeCell ref="A7:C7"/>
    <mergeCell ref="S74:Y74"/>
    <mergeCell ref="A61:G61"/>
    <mergeCell ref="A8:C8"/>
    <mergeCell ref="A10:F10"/>
    <mergeCell ref="A11:F11"/>
    <mergeCell ref="A15:G15"/>
    <mergeCell ref="B16:B17"/>
    <mergeCell ref="C16:C17"/>
    <mergeCell ref="B58:F58"/>
    <mergeCell ref="A69:G69"/>
    <mergeCell ref="B72:C72"/>
    <mergeCell ref="B73:C73"/>
    <mergeCell ref="C1:G1"/>
    <mergeCell ref="A2:C2"/>
    <mergeCell ref="A4:C4"/>
    <mergeCell ref="A5:C5"/>
    <mergeCell ref="A6:C6"/>
    <mergeCell ref="A68:G68"/>
    <mergeCell ref="A62:G62"/>
    <mergeCell ref="A63:G63"/>
    <mergeCell ref="A64:C64"/>
    <mergeCell ref="A65:G65"/>
    <mergeCell ref="A67:G67"/>
  </mergeCells>
  <hyperlinks>
    <hyperlink ref="B75" r:id="rId1" xr:uid="{B44A4DF1-64F3-49CB-A633-ADB4008A5BE7}"/>
  </hyperlinks>
  <pageMargins left="0.70866141732283505" right="0.23622047244094499" top="1.14173228346457" bottom="1.0629910323709499" header="0.19684930008748899" footer="0.15748031496063"/>
  <pageSetup paperSize="9" scale="85" orientation="portrait" r:id="rId2"/>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3"/>
  <legacyDrawing r:id="rId4"/>
  <legacyDrawingHF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48B36-E0B0-4508-9F49-981C2AEC60CD}">
  <sheetPr codeName="Foaie8">
    <tabColor theme="5" tint="-0.249977111117893"/>
  </sheetPr>
  <dimension ref="A1:P80"/>
  <sheetViews>
    <sheetView zoomScaleNormal="100" zoomScaleSheetLayoutView="100" workbookViewId="0">
      <selection activeCell="A2" sqref="A2:C2"/>
    </sheetView>
  </sheetViews>
  <sheetFormatPr defaultColWidth="9.109375" defaultRowHeight="11.4" x14ac:dyDescent="0.2"/>
  <cols>
    <col min="1" max="1" width="6" style="6" customWidth="1"/>
    <col min="2" max="2" width="9.44140625" style="6" customWidth="1"/>
    <col min="3" max="3" width="57.88671875" style="6" customWidth="1"/>
    <col min="4" max="5" width="5.88671875" style="6" customWidth="1"/>
    <col min="6" max="6" width="11.33203125" style="6" customWidth="1"/>
    <col min="7" max="7" width="12.6640625" style="6" customWidth="1"/>
    <col min="8" max="8" width="5" style="6" customWidth="1"/>
    <col min="9" max="9" width="8.5546875" style="6" customWidth="1"/>
    <col min="10" max="10" width="11" style="6" customWidth="1"/>
    <col min="11" max="11" width="9.6640625" style="6" customWidth="1"/>
    <col min="12" max="12" width="8.44140625" style="6" customWidth="1"/>
    <col min="13" max="13" width="11.6640625" style="6" customWidth="1"/>
    <col min="14" max="14" width="11.88671875" style="6" customWidth="1"/>
    <col min="15" max="15" width="8" style="6" customWidth="1"/>
    <col min="16" max="16" width="13.44140625" style="6" customWidth="1"/>
    <col min="17" max="16384" width="9.109375" style="6"/>
  </cols>
  <sheetData>
    <row r="1" spans="1:15" ht="126" customHeight="1" x14ac:dyDescent="0.2">
      <c r="C1" s="405" t="s">
        <v>382</v>
      </c>
      <c r="D1" s="405"/>
      <c r="E1" s="405"/>
      <c r="F1" s="405"/>
      <c r="G1" s="405"/>
      <c r="H1" s="10"/>
      <c r="I1" s="10"/>
    </row>
    <row r="2" spans="1:15" customFormat="1" ht="14.4" x14ac:dyDescent="0.3">
      <c r="A2" s="408" t="s">
        <v>420</v>
      </c>
      <c r="B2" s="409"/>
      <c r="C2" s="409"/>
    </row>
    <row r="3" spans="1:15" customFormat="1" ht="14.4" x14ac:dyDescent="0.3">
      <c r="A3" s="106"/>
    </row>
    <row r="4" spans="1:15" customFormat="1" ht="14.4" x14ac:dyDescent="0.3">
      <c r="A4" s="408" t="s">
        <v>114</v>
      </c>
      <c r="B4" s="409"/>
      <c r="C4" s="409"/>
    </row>
    <row r="5" spans="1:15" customFormat="1" ht="14.4" x14ac:dyDescent="0.3">
      <c r="A5" s="408" t="s">
        <v>116</v>
      </c>
      <c r="B5" s="409"/>
      <c r="C5" s="409"/>
    </row>
    <row r="6" spans="1:15" customFormat="1" ht="14.4" x14ac:dyDescent="0.3">
      <c r="A6" s="408" t="s">
        <v>23</v>
      </c>
      <c r="B6" s="409"/>
      <c r="C6" s="409"/>
    </row>
    <row r="7" spans="1:15" customFormat="1" ht="14.4" x14ac:dyDescent="0.3">
      <c r="A7" s="408" t="s">
        <v>13</v>
      </c>
      <c r="B7" s="409"/>
      <c r="C7" s="409"/>
    </row>
    <row r="8" spans="1:15" customFormat="1" ht="14.4" x14ac:dyDescent="0.3">
      <c r="A8" s="408" t="s">
        <v>131</v>
      </c>
      <c r="B8" s="409"/>
      <c r="C8" s="409"/>
    </row>
    <row r="10" spans="1:15" ht="31.5" customHeight="1" thickBot="1" x14ac:dyDescent="0.25">
      <c r="A10" s="406" t="s">
        <v>0</v>
      </c>
      <c r="B10" s="406"/>
      <c r="C10" s="406"/>
      <c r="D10" s="406"/>
      <c r="E10" s="406"/>
      <c r="F10" s="406"/>
      <c r="G10" s="12" t="s">
        <v>29</v>
      </c>
      <c r="H10" s="4"/>
      <c r="I10" s="5"/>
      <c r="J10" s="5"/>
      <c r="K10" s="5"/>
      <c r="L10" s="5"/>
      <c r="M10" s="5"/>
      <c r="N10" s="5"/>
    </row>
    <row r="11" spans="1:15" ht="30" customHeight="1" thickTop="1" thickBot="1" x14ac:dyDescent="0.25">
      <c r="A11" s="406" t="s">
        <v>222</v>
      </c>
      <c r="B11" s="406"/>
      <c r="C11" s="406"/>
      <c r="D11" s="406"/>
      <c r="E11" s="406"/>
      <c r="F11" s="406"/>
      <c r="G11" s="128">
        <f>K79</f>
        <v>0</v>
      </c>
      <c r="H11" s="4"/>
      <c r="I11" s="5"/>
      <c r="J11" s="5"/>
      <c r="K11" s="5"/>
      <c r="L11" s="5"/>
      <c r="M11" s="5"/>
      <c r="N11" s="5"/>
    </row>
    <row r="12" spans="1:15" ht="39" customHeight="1" thickTop="1" x14ac:dyDescent="0.2">
      <c r="A12" s="4"/>
      <c r="B12" s="4"/>
      <c r="C12" s="4"/>
      <c r="D12" s="4"/>
      <c r="E12" s="4"/>
      <c r="F12" s="4"/>
      <c r="G12" s="4"/>
      <c r="H12" s="4"/>
      <c r="I12" s="5"/>
      <c r="J12" s="5"/>
      <c r="K12" s="5"/>
      <c r="L12" s="5"/>
      <c r="M12" s="5"/>
      <c r="N12" s="5"/>
    </row>
    <row r="13" spans="1:15" ht="39" customHeight="1" x14ac:dyDescent="0.2">
      <c r="A13" s="4"/>
      <c r="B13" s="4"/>
      <c r="C13" s="4"/>
      <c r="D13" s="4"/>
      <c r="E13" s="4"/>
      <c r="F13" s="4"/>
      <c r="G13" s="4"/>
      <c r="H13" s="4"/>
      <c r="I13" s="12" t="s">
        <v>377</v>
      </c>
      <c r="J13" s="12"/>
      <c r="K13" s="217" t="s">
        <v>101</v>
      </c>
      <c r="L13" s="5"/>
      <c r="M13" s="12" t="s">
        <v>220</v>
      </c>
      <c r="N13" s="12" t="s">
        <v>329</v>
      </c>
      <c r="O13" s="97" t="s">
        <v>100</v>
      </c>
    </row>
    <row r="14" spans="1:15" ht="18" customHeight="1" x14ac:dyDescent="0.2">
      <c r="A14" s="4"/>
      <c r="B14" s="4"/>
      <c r="C14" s="4"/>
      <c r="F14" s="217" t="s">
        <v>220</v>
      </c>
      <c r="G14" s="12"/>
      <c r="H14" s="87"/>
      <c r="I14" s="217"/>
      <c r="J14" s="129"/>
      <c r="K14" s="9"/>
      <c r="L14" s="5"/>
      <c r="M14" s="5"/>
      <c r="N14" s="5"/>
    </row>
    <row r="15" spans="1:15" ht="21.75" customHeight="1" thickBot="1" x14ac:dyDescent="0.45">
      <c r="A15" s="410" t="s">
        <v>60</v>
      </c>
      <c r="B15" s="411"/>
      <c r="C15" s="411"/>
      <c r="D15" s="411"/>
      <c r="E15" s="411"/>
      <c r="F15" s="411"/>
      <c r="G15" s="411"/>
      <c r="H15" s="5"/>
      <c r="I15" s="5"/>
      <c r="J15" s="5"/>
      <c r="K15" s="5"/>
      <c r="L15" s="5"/>
      <c r="M15" s="5"/>
      <c r="N15" s="5"/>
    </row>
    <row r="16" spans="1:15" ht="27" customHeight="1" thickTop="1" thickBot="1" x14ac:dyDescent="0.25">
      <c r="A16" s="32" t="s">
        <v>1</v>
      </c>
      <c r="B16" s="407" t="s">
        <v>3</v>
      </c>
      <c r="C16" s="407" t="s">
        <v>4</v>
      </c>
      <c r="D16" s="407" t="s">
        <v>5</v>
      </c>
      <c r="E16" s="407" t="s">
        <v>6</v>
      </c>
      <c r="F16" s="32" t="s">
        <v>7</v>
      </c>
      <c r="G16" s="32" t="s">
        <v>9</v>
      </c>
      <c r="H16" s="5"/>
    </row>
    <row r="17" spans="1:13" ht="27" customHeight="1" thickTop="1" thickBot="1" x14ac:dyDescent="0.25">
      <c r="A17" s="32" t="s">
        <v>2</v>
      </c>
      <c r="B17" s="407"/>
      <c r="C17" s="407"/>
      <c r="D17" s="407"/>
      <c r="E17" s="407"/>
      <c r="F17" s="32" t="s">
        <v>8</v>
      </c>
      <c r="G17" s="32" t="s">
        <v>8</v>
      </c>
      <c r="H17" s="281"/>
      <c r="M17" s="353" t="s">
        <v>349</v>
      </c>
    </row>
    <row r="18" spans="1:13" ht="18" customHeight="1" thickTop="1" thickBot="1" x14ac:dyDescent="0.25">
      <c r="A18" s="401" t="s">
        <v>112</v>
      </c>
      <c r="B18" s="442"/>
      <c r="C18" s="442"/>
      <c r="D18" s="442"/>
      <c r="E18" s="442"/>
      <c r="F18" s="442"/>
      <c r="G18" s="15"/>
      <c r="H18" s="48">
        <f>SUM(H19:H20)</f>
        <v>0</v>
      </c>
      <c r="M18" s="142" t="s">
        <v>63</v>
      </c>
    </row>
    <row r="19" spans="1:13" ht="16.5" customHeight="1" thickTop="1" thickBot="1" x14ac:dyDescent="0.25">
      <c r="A19" s="76"/>
      <c r="B19" s="77">
        <v>600331</v>
      </c>
      <c r="C19" s="78" t="s">
        <v>113</v>
      </c>
      <c r="D19" s="77" t="s">
        <v>10</v>
      </c>
      <c r="E19" s="202">
        <f>N79</f>
        <v>0</v>
      </c>
      <c r="F19" s="352">
        <v>141</v>
      </c>
      <c r="G19" s="154">
        <f t="shared" ref="G19:G23" si="0">E19*F19</f>
        <v>0</v>
      </c>
      <c r="H19" s="48">
        <f t="shared" ref="H19:H23" si="1">E19</f>
        <v>0</v>
      </c>
      <c r="J19" s="227"/>
      <c r="M19" s="142">
        <f>E19*300</f>
        <v>0</v>
      </c>
    </row>
    <row r="20" spans="1:13" ht="16.5" customHeight="1" thickTop="1" thickBot="1" x14ac:dyDescent="0.25">
      <c r="A20" s="76"/>
      <c r="B20" s="77">
        <v>600661</v>
      </c>
      <c r="C20" s="78" t="s">
        <v>211</v>
      </c>
      <c r="D20" s="77" t="s">
        <v>10</v>
      </c>
      <c r="E20" s="202">
        <f>M79</f>
        <v>0</v>
      </c>
      <c r="F20" s="352">
        <v>211</v>
      </c>
      <c r="G20" s="154">
        <f t="shared" si="0"/>
        <v>0</v>
      </c>
      <c r="H20" s="48">
        <f t="shared" si="1"/>
        <v>0</v>
      </c>
      <c r="J20" s="227"/>
      <c r="M20" s="142">
        <f>E20*600</f>
        <v>0</v>
      </c>
    </row>
    <row r="21" spans="1:13" ht="20.100000000000001" customHeight="1" thickTop="1" thickBot="1" x14ac:dyDescent="0.25">
      <c r="A21" s="401" t="s">
        <v>210</v>
      </c>
      <c r="B21" s="442"/>
      <c r="C21" s="442"/>
      <c r="D21" s="442"/>
      <c r="E21" s="442"/>
      <c r="F21" s="442"/>
      <c r="G21" s="15"/>
      <c r="H21" s="48">
        <f>SUM(H22:H23)</f>
        <v>0</v>
      </c>
      <c r="J21" s="227"/>
    </row>
    <row r="22" spans="1:13" ht="16.5" customHeight="1" thickTop="1" thickBot="1" x14ac:dyDescent="0.25">
      <c r="A22" s="76"/>
      <c r="B22" s="80">
        <v>610331</v>
      </c>
      <c r="C22" s="78" t="s">
        <v>212</v>
      </c>
      <c r="D22" s="23" t="s">
        <v>10</v>
      </c>
      <c r="E22" s="77"/>
      <c r="F22" s="199"/>
      <c r="G22" s="79">
        <f t="shared" si="0"/>
        <v>0</v>
      </c>
      <c r="H22" s="48">
        <f t="shared" si="1"/>
        <v>0</v>
      </c>
      <c r="J22" s="227"/>
    </row>
    <row r="23" spans="1:13" ht="16.5" customHeight="1" thickTop="1" thickBot="1" x14ac:dyDescent="0.25">
      <c r="A23" s="76"/>
      <c r="B23" s="80">
        <v>610751</v>
      </c>
      <c r="C23" s="78" t="s">
        <v>213</v>
      </c>
      <c r="D23" s="23" t="s">
        <v>10</v>
      </c>
      <c r="E23" s="77"/>
      <c r="F23" s="200"/>
      <c r="G23" s="79">
        <f t="shared" si="0"/>
        <v>0</v>
      </c>
      <c r="H23" s="48">
        <f t="shared" si="1"/>
        <v>0</v>
      </c>
      <c r="J23" s="227"/>
    </row>
    <row r="24" spans="1:13" ht="18" customHeight="1" thickTop="1" thickBot="1" x14ac:dyDescent="0.25">
      <c r="A24" s="403" t="s">
        <v>68</v>
      </c>
      <c r="B24" s="447"/>
      <c r="C24" s="447"/>
      <c r="D24" s="447"/>
      <c r="E24" s="447"/>
      <c r="F24" s="447"/>
      <c r="G24" s="16"/>
      <c r="H24" s="48">
        <f>SUM(H25:H31)</f>
        <v>0</v>
      </c>
      <c r="J24" s="227"/>
    </row>
    <row r="25" spans="1:13" ht="30" customHeight="1" thickTop="1" thickBot="1" x14ac:dyDescent="0.25">
      <c r="A25" s="22"/>
      <c r="B25" s="22">
        <v>825400</v>
      </c>
      <c r="C25" s="66" t="s">
        <v>376</v>
      </c>
      <c r="D25" s="22" t="s">
        <v>10</v>
      </c>
      <c r="E25" s="22">
        <f>O79</f>
        <v>0</v>
      </c>
      <c r="F25" s="22">
        <f>Z89</f>
        <v>0</v>
      </c>
      <c r="G25" s="153">
        <f t="shared" ref="G25:G31" si="2">E25*F25</f>
        <v>0</v>
      </c>
      <c r="H25" s="283">
        <f>E25</f>
        <v>0</v>
      </c>
      <c r="J25" s="227"/>
      <c r="M25" s="310"/>
    </row>
    <row r="26" spans="1:13" ht="30" customHeight="1" thickTop="1" thickBot="1" x14ac:dyDescent="0.25">
      <c r="A26" s="22"/>
      <c r="B26" s="22">
        <v>825880</v>
      </c>
      <c r="C26" s="66" t="s">
        <v>103</v>
      </c>
      <c r="D26" s="22" t="s">
        <v>10</v>
      </c>
      <c r="E26" s="22">
        <f>O79</f>
        <v>0</v>
      </c>
      <c r="F26" s="306">
        <f>Z89</f>
        <v>0</v>
      </c>
      <c r="G26" s="153">
        <f t="shared" si="2"/>
        <v>0</v>
      </c>
      <c r="H26" s="283">
        <f t="shared" ref="H26:H31" si="3">E26</f>
        <v>0</v>
      </c>
      <c r="J26" s="227"/>
      <c r="M26" s="190"/>
    </row>
    <row r="27" spans="1:13" ht="30" customHeight="1" thickTop="1" thickBot="1" x14ac:dyDescent="0.25">
      <c r="A27" s="22"/>
      <c r="B27" s="22">
        <v>825870</v>
      </c>
      <c r="C27" s="66" t="s">
        <v>366</v>
      </c>
      <c r="D27" s="22" t="s">
        <v>10</v>
      </c>
      <c r="E27" s="22">
        <f>O79</f>
        <v>0</v>
      </c>
      <c r="F27" s="30">
        <f>Z89</f>
        <v>0</v>
      </c>
      <c r="G27" s="153">
        <f t="shared" si="2"/>
        <v>0</v>
      </c>
      <c r="H27" s="283">
        <f t="shared" si="3"/>
        <v>0</v>
      </c>
      <c r="J27" s="227"/>
      <c r="M27" s="190"/>
    </row>
    <row r="28" spans="1:13" ht="28.5" customHeight="1" thickTop="1" thickBot="1" x14ac:dyDescent="0.25">
      <c r="A28" s="22"/>
      <c r="B28" s="26">
        <v>825840</v>
      </c>
      <c r="C28" s="29" t="s">
        <v>327</v>
      </c>
      <c r="D28" s="30" t="s">
        <v>10</v>
      </c>
      <c r="E28" s="30">
        <f>O79</f>
        <v>0</v>
      </c>
      <c r="F28" s="30">
        <f>Z89</f>
        <v>0</v>
      </c>
      <c r="G28" s="88">
        <f t="shared" si="2"/>
        <v>0</v>
      </c>
      <c r="H28" s="283">
        <f t="shared" si="3"/>
        <v>0</v>
      </c>
      <c r="J28" s="227"/>
    </row>
    <row r="29" spans="1:13" ht="29.25" customHeight="1" thickTop="1" thickBot="1" x14ac:dyDescent="0.25">
      <c r="A29" s="22"/>
      <c r="B29" s="26">
        <v>827000</v>
      </c>
      <c r="C29" s="27" t="s">
        <v>365</v>
      </c>
      <c r="D29" s="28" t="s">
        <v>10</v>
      </c>
      <c r="E29" s="30">
        <f>O79</f>
        <v>0</v>
      </c>
      <c r="F29" s="30">
        <f>Z89</f>
        <v>0</v>
      </c>
      <c r="G29" s="88">
        <f t="shared" si="2"/>
        <v>0</v>
      </c>
      <c r="H29" s="283">
        <f t="shared" si="3"/>
        <v>0</v>
      </c>
      <c r="J29" s="227"/>
    </row>
    <row r="30" spans="1:13" ht="27.75" customHeight="1" thickTop="1" thickBot="1" x14ac:dyDescent="0.25">
      <c r="A30" s="22"/>
      <c r="B30" s="26">
        <v>838101</v>
      </c>
      <c r="C30" s="29" t="s">
        <v>59</v>
      </c>
      <c r="D30" s="30" t="s">
        <v>10</v>
      </c>
      <c r="E30" s="30">
        <f>O79</f>
        <v>0</v>
      </c>
      <c r="F30" s="30">
        <f>Z89</f>
        <v>0</v>
      </c>
      <c r="G30" s="88">
        <f t="shared" si="2"/>
        <v>0</v>
      </c>
      <c r="H30" s="283">
        <f t="shared" si="3"/>
        <v>0</v>
      </c>
      <c r="J30" s="227"/>
    </row>
    <row r="31" spans="1:13" ht="16.5" customHeight="1" thickTop="1" thickBot="1" x14ac:dyDescent="0.25">
      <c r="A31" s="22"/>
      <c r="B31" s="26">
        <v>860199</v>
      </c>
      <c r="C31" s="29" t="s">
        <v>328</v>
      </c>
      <c r="D31" s="30" t="s">
        <v>10</v>
      </c>
      <c r="E31" s="30"/>
      <c r="F31" s="30">
        <f>Z89</f>
        <v>0</v>
      </c>
      <c r="G31" s="153">
        <f t="shared" si="2"/>
        <v>0</v>
      </c>
      <c r="H31" s="283">
        <f t="shared" si="3"/>
        <v>0</v>
      </c>
      <c r="J31" s="227"/>
    </row>
    <row r="32" spans="1:13" ht="16.5" customHeight="1" thickTop="1" thickBot="1" x14ac:dyDescent="0.25">
      <c r="A32" s="390" t="s">
        <v>16</v>
      </c>
      <c r="B32" s="443"/>
      <c r="C32" s="443"/>
      <c r="D32" s="443"/>
      <c r="E32" s="443"/>
      <c r="F32" s="443"/>
      <c r="G32" s="88">
        <f>SUM(G19:G31)</f>
        <v>0</v>
      </c>
      <c r="H32" s="56"/>
    </row>
    <row r="33" spans="1:8" ht="16.5" customHeight="1" thickTop="1" thickBot="1" x14ac:dyDescent="0.25">
      <c r="A33" s="67">
        <v>0.05</v>
      </c>
      <c r="B33" s="391" t="s">
        <v>67</v>
      </c>
      <c r="C33" s="393"/>
      <c r="D33" s="393"/>
      <c r="E33" s="393"/>
      <c r="F33" s="393"/>
      <c r="G33" s="89">
        <f>G32*(1-A33)</f>
        <v>0</v>
      </c>
      <c r="H33" s="56"/>
    </row>
    <row r="34" spans="1:8" ht="16.5" customHeight="1" thickTop="1" thickBot="1" x14ac:dyDescent="0.25">
      <c r="A34" s="14" t="s">
        <v>17</v>
      </c>
      <c r="B34" s="17"/>
      <c r="C34" s="17"/>
      <c r="D34" s="17"/>
      <c r="E34" s="17"/>
      <c r="F34" s="17"/>
      <c r="G34" s="89">
        <f>G33*1.21</f>
        <v>0</v>
      </c>
      <c r="H34" s="56"/>
    </row>
    <row r="35" spans="1:8" ht="28.5" customHeight="1" thickTop="1" x14ac:dyDescent="0.2">
      <c r="A35" s="2"/>
      <c r="B35" s="105"/>
      <c r="C35" s="105"/>
      <c r="D35" s="105"/>
      <c r="E35" s="105"/>
      <c r="F35" s="105"/>
      <c r="G35" s="51"/>
      <c r="H35" s="56"/>
    </row>
    <row r="36" spans="1:8" ht="29.25" customHeight="1" x14ac:dyDescent="0.2">
      <c r="A36" s="389" t="s">
        <v>18</v>
      </c>
      <c r="B36" s="417"/>
      <c r="C36" s="417"/>
      <c r="D36" s="417"/>
      <c r="E36" s="417"/>
      <c r="F36" s="417"/>
      <c r="G36" s="417"/>
    </row>
    <row r="37" spans="1:8" ht="27.75" customHeight="1" x14ac:dyDescent="0.3">
      <c r="A37" s="404" t="s">
        <v>61</v>
      </c>
      <c r="B37" s="414"/>
      <c r="C37" s="414"/>
      <c r="D37" s="414"/>
      <c r="E37" s="414"/>
      <c r="F37" s="414"/>
      <c r="G37" s="414"/>
    </row>
    <row r="38" spans="1:8" ht="17.25" customHeight="1" x14ac:dyDescent="0.2">
      <c r="A38" s="404" t="s">
        <v>337</v>
      </c>
      <c r="B38" s="404"/>
      <c r="C38" s="404"/>
      <c r="D38" s="404"/>
      <c r="E38" s="404"/>
      <c r="F38" s="404"/>
      <c r="G38" s="404"/>
    </row>
    <row r="39" spans="1:8" ht="18.75" customHeight="1" x14ac:dyDescent="0.3">
      <c r="A39" s="404" t="s">
        <v>106</v>
      </c>
      <c r="B39" s="414"/>
      <c r="C39" s="414"/>
      <c r="D39" s="123">
        <f>SUM(M19:M20)/1000</f>
        <v>0</v>
      </c>
      <c r="E39" s="49"/>
      <c r="F39" s="49"/>
      <c r="G39" s="49"/>
    </row>
    <row r="40" spans="1:8" s="105" customFormat="1" ht="16.5" customHeight="1" x14ac:dyDescent="0.2">
      <c r="A40" s="6"/>
      <c r="B40" s="6"/>
      <c r="C40" s="6"/>
      <c r="D40" s="6"/>
      <c r="E40" s="6"/>
      <c r="F40" s="6"/>
      <c r="G40" s="6"/>
      <c r="H40" s="6"/>
    </row>
    <row r="41" spans="1:8" ht="18" customHeight="1" x14ac:dyDescent="0.2">
      <c r="A41" s="2" t="s">
        <v>19</v>
      </c>
      <c r="B41" s="4"/>
      <c r="C41" s="4"/>
      <c r="D41" s="4"/>
      <c r="E41" s="4"/>
      <c r="F41" s="4"/>
      <c r="G41" s="4"/>
      <c r="H41" s="105"/>
    </row>
    <row r="42" spans="1:8" ht="15.75" customHeight="1" x14ac:dyDescent="0.2">
      <c r="A42" s="389" t="s">
        <v>20</v>
      </c>
      <c r="B42" s="417"/>
      <c r="C42" s="417"/>
      <c r="D42" s="417"/>
      <c r="E42" s="417"/>
      <c r="F42" s="417"/>
      <c r="G42" s="417"/>
    </row>
    <row r="43" spans="1:8" ht="14.4" x14ac:dyDescent="0.3">
      <c r="A43" s="389" t="s">
        <v>21</v>
      </c>
      <c r="B43" s="409"/>
      <c r="C43" s="409"/>
      <c r="D43" s="409"/>
      <c r="E43" s="409"/>
      <c r="F43" s="409"/>
      <c r="G43" s="409"/>
    </row>
    <row r="44" spans="1:8" ht="14.4" x14ac:dyDescent="0.2">
      <c r="A44" s="389" t="s">
        <v>22</v>
      </c>
      <c r="B44" s="417"/>
      <c r="C44" s="417"/>
      <c r="D44" s="417"/>
      <c r="E44" s="417"/>
      <c r="F44" s="417"/>
      <c r="G44" s="417"/>
    </row>
    <row r="46" spans="1:8" x14ac:dyDescent="0.2">
      <c r="B46" s="1" t="s">
        <v>11</v>
      </c>
      <c r="C46" s="2"/>
    </row>
    <row r="47" spans="1:8" ht="14.4" x14ac:dyDescent="0.2">
      <c r="B47" s="373"/>
      <c r="C47" s="374"/>
    </row>
    <row r="48" spans="1:8" ht="14.4" x14ac:dyDescent="0.2">
      <c r="B48" s="373"/>
      <c r="C48" s="374"/>
    </row>
    <row r="49" spans="2:16" ht="18.75" customHeight="1" thickBot="1" x14ac:dyDescent="0.25">
      <c r="B49" s="7"/>
    </row>
    <row r="50" spans="2:16" ht="15.6" thickTop="1" thickBot="1" x14ac:dyDescent="0.25">
      <c r="B50" s="7" t="s">
        <v>12</v>
      </c>
      <c r="J50" s="444" t="s">
        <v>216</v>
      </c>
      <c r="K50" s="445"/>
      <c r="L50" s="445"/>
      <c r="M50" s="445"/>
      <c r="N50" s="445"/>
      <c r="O50" s="445"/>
      <c r="P50" s="446"/>
    </row>
    <row r="51" spans="2:16" ht="31.8" thickTop="1" thickBot="1" x14ac:dyDescent="0.25">
      <c r="I51" s="12"/>
      <c r="J51" s="179" t="s">
        <v>71</v>
      </c>
      <c r="K51" s="179" t="s">
        <v>187</v>
      </c>
      <c r="L51" s="179" t="s">
        <v>214</v>
      </c>
      <c r="M51" s="179" t="s">
        <v>217</v>
      </c>
      <c r="N51" s="179" t="s">
        <v>218</v>
      </c>
      <c r="O51" s="180" t="s">
        <v>178</v>
      </c>
      <c r="P51" s="179" t="s">
        <v>215</v>
      </c>
    </row>
    <row r="52" spans="2:16" ht="15.75" customHeight="1" thickTop="1" thickBot="1" x14ac:dyDescent="0.25">
      <c r="I52" s="64" t="s">
        <v>79</v>
      </c>
      <c r="J52" s="132" t="s">
        <v>125</v>
      </c>
      <c r="K52" s="176"/>
      <c r="L52" s="74" t="str">
        <f t="shared" ref="L52:L78" si="4">IF(K52&lt;&gt;"", CEILING(K52/4,1)*4, "")</f>
        <v/>
      </c>
      <c r="M52" s="127" t="str">
        <f t="shared" ref="M52:M78" si="5">IF(ISBLANK(L52), "", IF(AND(ISNUMBER(L52), L52&gt;=4), IF(L52&gt;=8, INT(L52/8), 0), ""))</f>
        <v/>
      </c>
      <c r="N52" s="127" t="str">
        <f t="shared" ref="N52:N78" si="6">IF(OR(ISBLANK(K52), ISBLANK(M52)), "", IF(OR(AND(ISNUMBER(K52), ISNUMBER(M52), OR((K52 - M52 * 8) &gt;= 1, (K52 - M52 * 8) &lt;= -4, (K52 - M52 * 8) = 0))), 1, ""))</f>
        <v/>
      </c>
      <c r="O52" s="63" t="str">
        <f>IF(ISNUMBER(K52),1,"")</f>
        <v/>
      </c>
      <c r="P52" s="174" t="s">
        <v>223</v>
      </c>
    </row>
    <row r="53" spans="2:16" ht="13.2" thickTop="1" thickBot="1" x14ac:dyDescent="0.25">
      <c r="I53" s="133"/>
      <c r="J53" s="132" t="s">
        <v>81</v>
      </c>
      <c r="K53" s="176"/>
      <c r="L53" s="74" t="str">
        <f t="shared" si="4"/>
        <v/>
      </c>
      <c r="M53" s="127" t="str">
        <f t="shared" si="5"/>
        <v/>
      </c>
      <c r="N53" s="127" t="str">
        <f t="shared" si="6"/>
        <v/>
      </c>
      <c r="O53" s="63" t="str">
        <f t="shared" ref="O53:O64" si="7">IF(ISNUMBER(K53),1,"")</f>
        <v/>
      </c>
      <c r="P53" s="174" t="s">
        <v>224</v>
      </c>
    </row>
    <row r="54" spans="2:16" ht="16.95" customHeight="1" thickTop="1" thickBot="1" x14ac:dyDescent="0.25">
      <c r="I54" s="133"/>
      <c r="J54" s="132" t="s">
        <v>82</v>
      </c>
      <c r="K54" s="176"/>
      <c r="L54" s="74" t="str">
        <f t="shared" si="4"/>
        <v/>
      </c>
      <c r="M54" s="127" t="str">
        <f t="shared" si="5"/>
        <v/>
      </c>
      <c r="N54" s="127" t="str">
        <f t="shared" si="6"/>
        <v/>
      </c>
      <c r="O54" s="63" t="str">
        <f t="shared" si="7"/>
        <v/>
      </c>
      <c r="P54" s="201"/>
    </row>
    <row r="55" spans="2:16" ht="13.2" thickTop="1" thickBot="1" x14ac:dyDescent="0.25">
      <c r="I55" s="133"/>
      <c r="J55" s="132" t="s">
        <v>83</v>
      </c>
      <c r="K55" s="176"/>
      <c r="L55" s="74" t="str">
        <f t="shared" si="4"/>
        <v/>
      </c>
      <c r="M55" s="127" t="str">
        <f t="shared" si="5"/>
        <v/>
      </c>
      <c r="N55" s="127" t="str">
        <f t="shared" si="6"/>
        <v/>
      </c>
      <c r="O55" s="63" t="str">
        <f t="shared" si="7"/>
        <v/>
      </c>
      <c r="P55" s="201"/>
    </row>
    <row r="56" spans="2:16" ht="13.2" thickTop="1" thickBot="1" x14ac:dyDescent="0.25">
      <c r="I56" s="133"/>
      <c r="J56" s="132" t="s">
        <v>80</v>
      </c>
      <c r="K56" s="176"/>
      <c r="L56" s="74" t="str">
        <f t="shared" si="4"/>
        <v/>
      </c>
      <c r="M56" s="127" t="str">
        <f t="shared" si="5"/>
        <v/>
      </c>
      <c r="N56" s="127" t="str">
        <f t="shared" si="6"/>
        <v/>
      </c>
      <c r="O56" s="63" t="str">
        <f t="shared" si="7"/>
        <v/>
      </c>
      <c r="P56" s="201"/>
    </row>
    <row r="57" spans="2:16" ht="13.2" thickTop="1" thickBot="1" x14ac:dyDescent="0.25">
      <c r="I57" s="133"/>
      <c r="J57" s="134" t="s">
        <v>73</v>
      </c>
      <c r="K57" s="176"/>
      <c r="L57" s="74" t="str">
        <f t="shared" si="4"/>
        <v/>
      </c>
      <c r="M57" s="127" t="str">
        <f t="shared" si="5"/>
        <v/>
      </c>
      <c r="N57" s="127" t="str">
        <f t="shared" si="6"/>
        <v/>
      </c>
      <c r="O57" s="63" t="str">
        <f t="shared" si="7"/>
        <v/>
      </c>
      <c r="P57" s="201"/>
    </row>
    <row r="58" spans="2:16" ht="13.2" thickTop="1" thickBot="1" x14ac:dyDescent="0.25">
      <c r="I58" s="133"/>
      <c r="J58" s="134" t="s">
        <v>74</v>
      </c>
      <c r="K58" s="176"/>
      <c r="L58" s="74" t="str">
        <f t="shared" si="4"/>
        <v/>
      </c>
      <c r="M58" s="127" t="str">
        <f t="shared" si="5"/>
        <v/>
      </c>
      <c r="N58" s="127" t="str">
        <f t="shared" si="6"/>
        <v/>
      </c>
      <c r="O58" s="63" t="str">
        <f t="shared" si="7"/>
        <v/>
      </c>
      <c r="P58" s="201"/>
    </row>
    <row r="59" spans="2:16" ht="12.6" thickTop="1" thickBot="1" x14ac:dyDescent="0.25">
      <c r="I59" s="145">
        <f>SUM(K52:K64)</f>
        <v>0</v>
      </c>
      <c r="J59" s="134" t="s">
        <v>115</v>
      </c>
      <c r="K59" s="176"/>
      <c r="L59" s="74" t="str">
        <f t="shared" si="4"/>
        <v/>
      </c>
      <c r="M59" s="127" t="str">
        <f t="shared" si="5"/>
        <v/>
      </c>
      <c r="N59" s="127" t="str">
        <f t="shared" si="6"/>
        <v/>
      </c>
      <c r="O59" s="63" t="str">
        <f t="shared" si="7"/>
        <v/>
      </c>
      <c r="P59" s="201"/>
    </row>
    <row r="60" spans="2:16" ht="12.6" thickTop="1" thickBot="1" x14ac:dyDescent="0.25">
      <c r="I60" s="112" t="s">
        <v>129</v>
      </c>
      <c r="J60" s="134" t="s">
        <v>77</v>
      </c>
      <c r="K60" s="176"/>
      <c r="L60" s="74" t="str">
        <f t="shared" si="4"/>
        <v/>
      </c>
      <c r="M60" s="127" t="str">
        <f t="shared" si="5"/>
        <v/>
      </c>
      <c r="N60" s="127" t="str">
        <f t="shared" si="6"/>
        <v/>
      </c>
      <c r="O60" s="63" t="str">
        <f t="shared" si="7"/>
        <v/>
      </c>
      <c r="P60" s="201"/>
    </row>
    <row r="61" spans="2:16" ht="13.2" thickTop="1" thickBot="1" x14ac:dyDescent="0.25">
      <c r="I61" s="133"/>
      <c r="J61" s="134" t="s">
        <v>76</v>
      </c>
      <c r="K61" s="176"/>
      <c r="L61" s="74" t="str">
        <f t="shared" si="4"/>
        <v/>
      </c>
      <c r="M61" s="127" t="str">
        <f t="shared" si="5"/>
        <v/>
      </c>
      <c r="N61" s="127" t="str">
        <f t="shared" si="6"/>
        <v/>
      </c>
      <c r="O61" s="63" t="str">
        <f t="shared" si="7"/>
        <v/>
      </c>
      <c r="P61" s="201"/>
    </row>
    <row r="62" spans="2:16" ht="13.2" thickTop="1" thickBot="1" x14ac:dyDescent="0.25">
      <c r="I62" s="133"/>
      <c r="J62" s="135" t="s">
        <v>75</v>
      </c>
      <c r="K62" s="176"/>
      <c r="L62" s="74" t="str">
        <f t="shared" si="4"/>
        <v/>
      </c>
      <c r="M62" s="127" t="str">
        <f t="shared" si="5"/>
        <v/>
      </c>
      <c r="N62" s="127" t="str">
        <f t="shared" si="6"/>
        <v/>
      </c>
      <c r="O62" s="63" t="str">
        <f t="shared" si="7"/>
        <v/>
      </c>
      <c r="P62" s="120"/>
    </row>
    <row r="63" spans="2:16" ht="13.2" thickTop="1" thickBot="1" x14ac:dyDescent="0.25">
      <c r="I63" s="133"/>
      <c r="J63" s="135" t="s">
        <v>75</v>
      </c>
      <c r="K63" s="193"/>
      <c r="L63" s="75" t="str">
        <f t="shared" si="4"/>
        <v/>
      </c>
      <c r="M63" s="228" t="str">
        <f t="shared" si="5"/>
        <v/>
      </c>
      <c r="N63" s="228" t="str">
        <f t="shared" si="6"/>
        <v/>
      </c>
      <c r="O63" s="63" t="str">
        <f t="shared" si="7"/>
        <v/>
      </c>
      <c r="P63" s="120"/>
    </row>
    <row r="64" spans="2:16" ht="13.2" thickTop="1" thickBot="1" x14ac:dyDescent="0.25">
      <c r="I64" s="136"/>
      <c r="J64" s="134" t="s">
        <v>75</v>
      </c>
      <c r="K64" s="176"/>
      <c r="L64" s="74" t="str">
        <f t="shared" si="4"/>
        <v/>
      </c>
      <c r="M64" s="127" t="str">
        <f t="shared" si="5"/>
        <v/>
      </c>
      <c r="N64" s="127" t="str">
        <f t="shared" si="6"/>
        <v/>
      </c>
      <c r="O64" s="63" t="str">
        <f t="shared" si="7"/>
        <v/>
      </c>
      <c r="P64" s="120"/>
    </row>
    <row r="65" spans="9:16" ht="12.6" thickTop="1" thickBot="1" x14ac:dyDescent="0.25">
      <c r="J65" s="100"/>
      <c r="K65" s="100"/>
      <c r="L65" s="115" t="str">
        <f t="shared" si="4"/>
        <v/>
      </c>
      <c r="M65" s="230" t="str">
        <f t="shared" si="5"/>
        <v/>
      </c>
      <c r="N65" s="230" t="str">
        <f t="shared" si="6"/>
        <v/>
      </c>
      <c r="O65" s="100"/>
      <c r="P65" s="120"/>
    </row>
    <row r="66" spans="9:16" ht="12.6" thickTop="1" thickBot="1" x14ac:dyDescent="0.25">
      <c r="I66" s="64" t="s">
        <v>84</v>
      </c>
      <c r="J66" s="132" t="s">
        <v>73</v>
      </c>
      <c r="K66" s="176"/>
      <c r="L66" s="74" t="str">
        <f t="shared" si="4"/>
        <v/>
      </c>
      <c r="M66" s="127" t="str">
        <f t="shared" si="5"/>
        <v/>
      </c>
      <c r="N66" s="127" t="str">
        <f t="shared" si="6"/>
        <v/>
      </c>
      <c r="O66" s="63" t="str">
        <f>IF(ISNUMBER(K66),1,"")</f>
        <v/>
      </c>
      <c r="P66" s="120"/>
    </row>
    <row r="67" spans="9:16" ht="13.2" thickTop="1" thickBot="1" x14ac:dyDescent="0.25">
      <c r="I67" s="137"/>
      <c r="J67" s="138" t="s">
        <v>85</v>
      </c>
      <c r="K67" s="194"/>
      <c r="L67" s="102" t="str">
        <f t="shared" si="4"/>
        <v/>
      </c>
      <c r="M67" s="229" t="str">
        <f t="shared" si="5"/>
        <v/>
      </c>
      <c r="N67" s="229" t="str">
        <f t="shared" si="6"/>
        <v/>
      </c>
      <c r="O67" s="63" t="str">
        <f t="shared" ref="O67:O78" si="8">IF(ISNUMBER(K67),1,"")</f>
        <v/>
      </c>
      <c r="P67" s="120"/>
    </row>
    <row r="68" spans="9:16" ht="13.2" thickTop="1" thickBot="1" x14ac:dyDescent="0.25">
      <c r="I68" s="133"/>
      <c r="J68" s="138" t="s">
        <v>86</v>
      </c>
      <c r="K68" s="176"/>
      <c r="L68" s="74" t="str">
        <f t="shared" si="4"/>
        <v/>
      </c>
      <c r="M68" s="127" t="str">
        <f t="shared" si="5"/>
        <v/>
      </c>
      <c r="N68" s="127" t="str">
        <f t="shared" si="6"/>
        <v/>
      </c>
      <c r="O68" s="63" t="str">
        <f t="shared" si="8"/>
        <v/>
      </c>
      <c r="P68" s="120"/>
    </row>
    <row r="69" spans="9:16" ht="13.2" thickTop="1" thickBot="1" x14ac:dyDescent="0.25">
      <c r="I69" s="133"/>
      <c r="J69" s="138">
        <v>0</v>
      </c>
      <c r="K69" s="176"/>
      <c r="L69" s="74" t="str">
        <f t="shared" si="4"/>
        <v/>
      </c>
      <c r="M69" s="127" t="str">
        <f t="shared" si="5"/>
        <v/>
      </c>
      <c r="N69" s="127" t="str">
        <f t="shared" si="6"/>
        <v/>
      </c>
      <c r="O69" s="63" t="str">
        <f t="shared" si="8"/>
        <v/>
      </c>
      <c r="P69" s="120"/>
    </row>
    <row r="70" spans="9:16" ht="13.2" thickTop="1" thickBot="1" x14ac:dyDescent="0.25">
      <c r="I70" s="133"/>
      <c r="J70" s="138" t="s">
        <v>75</v>
      </c>
      <c r="K70" s="176"/>
      <c r="L70" s="74" t="str">
        <f t="shared" si="4"/>
        <v/>
      </c>
      <c r="M70" s="127" t="str">
        <f t="shared" si="5"/>
        <v/>
      </c>
      <c r="N70" s="127" t="str">
        <f t="shared" si="6"/>
        <v/>
      </c>
      <c r="O70" s="63" t="str">
        <f t="shared" si="8"/>
        <v/>
      </c>
      <c r="P70" s="120"/>
    </row>
    <row r="71" spans="9:16" ht="12.6" thickTop="1" thickBot="1" x14ac:dyDescent="0.25">
      <c r="I71" s="145">
        <f>SUM(K66:K78)</f>
        <v>0</v>
      </c>
      <c r="J71" s="138" t="s">
        <v>75</v>
      </c>
      <c r="K71" s="176"/>
      <c r="L71" s="74" t="str">
        <f t="shared" si="4"/>
        <v/>
      </c>
      <c r="M71" s="127" t="str">
        <f t="shared" si="5"/>
        <v/>
      </c>
      <c r="N71" s="127" t="str">
        <f t="shared" si="6"/>
        <v/>
      </c>
      <c r="O71" s="63" t="str">
        <f t="shared" si="8"/>
        <v/>
      </c>
      <c r="P71" s="120"/>
    </row>
    <row r="72" spans="9:16" ht="12.6" thickTop="1" thickBot="1" x14ac:dyDescent="0.25">
      <c r="I72" s="112" t="s">
        <v>129</v>
      </c>
      <c r="J72" s="138" t="s">
        <v>77</v>
      </c>
      <c r="K72" s="176"/>
      <c r="L72" s="74" t="str">
        <f t="shared" si="4"/>
        <v/>
      </c>
      <c r="M72" s="127" t="str">
        <f t="shared" si="5"/>
        <v/>
      </c>
      <c r="N72" s="127" t="str">
        <f t="shared" si="6"/>
        <v/>
      </c>
      <c r="O72" s="63" t="str">
        <f t="shared" si="8"/>
        <v/>
      </c>
      <c r="P72" s="120"/>
    </row>
    <row r="73" spans="9:16" ht="13.2" thickTop="1" thickBot="1" x14ac:dyDescent="0.25">
      <c r="I73" s="133"/>
      <c r="J73" s="138" t="s">
        <v>77</v>
      </c>
      <c r="K73" s="176"/>
      <c r="L73" s="74" t="str">
        <f t="shared" si="4"/>
        <v/>
      </c>
      <c r="M73" s="127" t="str">
        <f t="shared" si="5"/>
        <v/>
      </c>
      <c r="N73" s="127" t="str">
        <f t="shared" si="6"/>
        <v/>
      </c>
      <c r="O73" s="63" t="str">
        <f t="shared" si="8"/>
        <v/>
      </c>
      <c r="P73" s="120"/>
    </row>
    <row r="74" spans="9:16" ht="13.2" thickTop="1" thickBot="1" x14ac:dyDescent="0.25">
      <c r="I74" s="133"/>
      <c r="J74" s="138" t="s">
        <v>77</v>
      </c>
      <c r="K74" s="176"/>
      <c r="L74" s="74" t="str">
        <f t="shared" si="4"/>
        <v/>
      </c>
      <c r="M74" s="127" t="str">
        <f t="shared" si="5"/>
        <v/>
      </c>
      <c r="N74" s="127" t="str">
        <f t="shared" si="6"/>
        <v/>
      </c>
      <c r="O74" s="63" t="str">
        <f t="shared" si="8"/>
        <v/>
      </c>
      <c r="P74" s="120"/>
    </row>
    <row r="75" spans="9:16" ht="13.2" thickTop="1" thickBot="1" x14ac:dyDescent="0.25">
      <c r="I75" s="133"/>
      <c r="J75" s="138" t="s">
        <v>73</v>
      </c>
      <c r="K75" s="176"/>
      <c r="L75" s="74" t="str">
        <f t="shared" si="4"/>
        <v/>
      </c>
      <c r="M75" s="127" t="str">
        <f t="shared" si="5"/>
        <v/>
      </c>
      <c r="N75" s="127" t="str">
        <f t="shared" si="6"/>
        <v/>
      </c>
      <c r="O75" s="63" t="str">
        <f t="shared" si="8"/>
        <v/>
      </c>
      <c r="P75" s="120"/>
    </row>
    <row r="76" spans="9:16" ht="13.2" thickTop="1" thickBot="1" x14ac:dyDescent="0.25">
      <c r="I76" s="136"/>
      <c r="J76" s="135" t="s">
        <v>75</v>
      </c>
      <c r="K76" s="176"/>
      <c r="L76" s="74" t="str">
        <f t="shared" si="4"/>
        <v/>
      </c>
      <c r="M76" s="127" t="str">
        <f t="shared" si="5"/>
        <v/>
      </c>
      <c r="N76" s="127" t="str">
        <f t="shared" si="6"/>
        <v/>
      </c>
      <c r="O76" s="63" t="str">
        <f t="shared" si="8"/>
        <v/>
      </c>
      <c r="P76" s="120"/>
    </row>
    <row r="77" spans="9:16" ht="12.6" thickTop="1" thickBot="1" x14ac:dyDescent="0.25">
      <c r="J77" s="135" t="s">
        <v>75</v>
      </c>
      <c r="K77" s="193"/>
      <c r="L77" s="74" t="str">
        <f t="shared" si="4"/>
        <v/>
      </c>
      <c r="M77" s="127" t="str">
        <f t="shared" si="5"/>
        <v/>
      </c>
      <c r="N77" s="127" t="str">
        <f t="shared" si="6"/>
        <v/>
      </c>
      <c r="O77" s="63" t="str">
        <f t="shared" si="8"/>
        <v/>
      </c>
      <c r="P77" s="56"/>
    </row>
    <row r="78" spans="9:16" ht="12.6" thickTop="1" thickBot="1" x14ac:dyDescent="0.25">
      <c r="J78" s="134" t="s">
        <v>75</v>
      </c>
      <c r="K78" s="176"/>
      <c r="L78" s="74" t="str">
        <f t="shared" si="4"/>
        <v/>
      </c>
      <c r="M78" s="127" t="str">
        <f t="shared" si="5"/>
        <v/>
      </c>
      <c r="N78" s="127" t="str">
        <f t="shared" si="6"/>
        <v/>
      </c>
      <c r="O78" s="63" t="str">
        <f t="shared" si="8"/>
        <v/>
      </c>
      <c r="P78" s="56"/>
    </row>
    <row r="79" spans="9:16" ht="15" thickTop="1" thickBot="1" x14ac:dyDescent="0.25">
      <c r="J79" s="149" t="s">
        <v>209</v>
      </c>
      <c r="K79" s="121">
        <f>I59+I71</f>
        <v>0</v>
      </c>
      <c r="L79" s="74">
        <f t="shared" ref="L79" si="9">IF(K79&lt;&gt;"", CEILING(K79/4,1)*4, "")</f>
        <v>0</v>
      </c>
      <c r="M79" s="273">
        <f>SUM(M52:M78)</f>
        <v>0</v>
      </c>
      <c r="N79" s="273">
        <f>SUM(N52:N78)</f>
        <v>0</v>
      </c>
      <c r="O79" s="118">
        <f>SUM(O52:O78)</f>
        <v>0</v>
      </c>
    </row>
    <row r="80" spans="9:16" ht="13.8" x14ac:dyDescent="0.2">
      <c r="K80" s="99" t="s">
        <v>129</v>
      </c>
      <c r="L80" s="99"/>
      <c r="M80" s="99"/>
      <c r="N80" s="99"/>
      <c r="O80" s="99" t="s">
        <v>128</v>
      </c>
    </row>
  </sheetData>
  <autoFilter ref="H17:H34" xr:uid="{00000000-0009-0000-0000-000000000000}"/>
  <mergeCells count="29">
    <mergeCell ref="A7:C7"/>
    <mergeCell ref="C1:G1"/>
    <mergeCell ref="A2:C2"/>
    <mergeCell ref="A4:C4"/>
    <mergeCell ref="A5:C5"/>
    <mergeCell ref="A6:C6"/>
    <mergeCell ref="A8:C8"/>
    <mergeCell ref="A10:F10"/>
    <mergeCell ref="A11:F11"/>
    <mergeCell ref="A15:G15"/>
    <mergeCell ref="B16:B17"/>
    <mergeCell ref="C16:C17"/>
    <mergeCell ref="D16:D17"/>
    <mergeCell ref="E16:E17"/>
    <mergeCell ref="A42:G42"/>
    <mergeCell ref="A18:F18"/>
    <mergeCell ref="A21:F21"/>
    <mergeCell ref="A24:F24"/>
    <mergeCell ref="A32:F32"/>
    <mergeCell ref="B33:F33"/>
    <mergeCell ref="A36:G36"/>
    <mergeCell ref="A37:G37"/>
    <mergeCell ref="A38:G38"/>
    <mergeCell ref="A39:C39"/>
    <mergeCell ref="A43:G43"/>
    <mergeCell ref="A44:G44"/>
    <mergeCell ref="B47:C47"/>
    <mergeCell ref="B48:C48"/>
    <mergeCell ref="J50:P50"/>
  </mergeCells>
  <phoneticPr fontId="17" type="noConversion"/>
  <hyperlinks>
    <hyperlink ref="B50" r:id="rId1" xr:uid="{7FC27263-B9D5-40E9-878F-2A026C9575E1}"/>
  </hyperlinks>
  <pageMargins left="0.70866141732283505" right="0.23622047244094499" top="1.14173228346457" bottom="1.0629910323709499" header="0.19684930008748899" footer="0.15748031496063"/>
  <pageSetup paperSize="9" scale="85" orientation="portrait" r:id="rId2"/>
  <headerFooter scaleWithDoc="0" alignWithMargins="0">
    <oddHeader>&amp;L&amp;G&amp;R&amp;G</oddHeader>
    <oddFooter xml:space="preserve">&amp;LRO33404978
J40/8589/2014
RO56INGB0000999915150915
ING BANK NV&amp;CStr. Învingătorilor nr. 27, Sector 3, București
Tel :  (+4) 0314.361.836
Mobil:  (+4) 0724.204.888
             (+4) 0766.367.287&amp;REmail: 
comercial@magnumheating.ro
</oddFooter>
  </headerFooter>
  <colBreaks count="1" manualBreakCount="1">
    <brk id="7" max="1048575" man="1"/>
  </col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CABLU SAPA</vt:lpstr>
      <vt:lpstr>COV. GRESIE</vt:lpstr>
      <vt:lpstr>COV. PARCHET</vt:lpstr>
      <vt:lpstr>COV. PARCHET + COV. GRESIE</vt:lpstr>
      <vt:lpstr>FILM PARCHET</vt:lpstr>
      <vt:lpstr>FILM PARCHET+ COV. GRESIE</vt:lpstr>
      <vt:lpstr>HEATBOARD E</vt:lpstr>
      <vt:lpstr>HEATBOARD El. + COV GRESIE</vt:lpstr>
      <vt:lpstr>PANOURI RAD.</vt:lpstr>
      <vt:lpstr>Sisteme incalzire electrica</vt:lpstr>
      <vt:lpstr>'CABLU SAPA'!Print_Area</vt:lpstr>
      <vt:lpstr>'COV. GRESIE'!Print_Area</vt:lpstr>
      <vt:lpstr>'COV. PARCHET'!Print_Area</vt:lpstr>
      <vt:lpstr>'COV. PARCHET + COV. GRESIE'!Print_Area</vt:lpstr>
      <vt:lpstr>'FILM PARCHET'!Print_Area</vt:lpstr>
      <vt:lpstr>'FILM PARCHET+ COV. GRESIE'!Print_Area</vt:lpstr>
      <vt:lpstr>'HEATBOARD E'!Print_Area</vt:lpstr>
      <vt:lpstr>'HEATBOARD El. + COV GRESIE'!Print_Area</vt:lpstr>
      <vt:lpstr>'PANOURI RAD.'!Print_Area</vt:lpstr>
      <vt:lpstr>'Sisteme incalzire electrica'!Print_Area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dc:creator>
  <cp:lastModifiedBy>Comercial  (Magnum Heating RO)</cp:lastModifiedBy>
  <cp:lastPrinted>2026-01-22T11:05:01Z</cp:lastPrinted>
  <dcterms:created xsi:type="dcterms:W3CDTF">2022-07-26T13:17:27Z</dcterms:created>
  <dcterms:modified xsi:type="dcterms:W3CDTF">2026-04-02T07:50:26Z</dcterms:modified>
</cp:coreProperties>
</file>