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uawei\Desktop\1Excel 2026 OK\"/>
    </mc:Choice>
  </mc:AlternateContent>
  <xr:revisionPtr revIDLastSave="0" documentId="8_{6FF91C62-FD57-45FA-9861-6A0A3045CDA9}" xr6:coauthVersionLast="47" xr6:coauthVersionMax="47" xr10:uidLastSave="{00000000-0000-0000-0000-000000000000}"/>
  <bookViews>
    <workbookView xWindow="28680" yWindow="-120" windowWidth="29040" windowHeight="15720" tabRatio="772" firstSheet="1" activeTab="1" xr2:uid="{00000000-000D-0000-FFFF-FFFF00000000}"/>
  </bookViews>
  <sheets>
    <sheet name="calcule pt oferta" sheetId="8" state="hidden" r:id="rId1"/>
    <sheet name="electric-degivr-agent termic" sheetId="17" r:id="rId2"/>
  </sheets>
  <definedNames>
    <definedName name="_xlnm._FilterDatabase" localSheetId="0" hidden="1">'calcule pt oferta'!$H$27:$H$79</definedName>
    <definedName name="_xlnm._FilterDatabase" localSheetId="1" hidden="1">'electric-degivr-agent termic'!$H$17:$H$427</definedName>
    <definedName name="_Hlk75355259" localSheetId="0">'calcule pt oferta'!#REF!</definedName>
    <definedName name="_Hlk75355259" localSheetId="1">'electric-degivr-agent termic'!#REF!</definedName>
    <definedName name="_Hlk77248064" localSheetId="0">'calcule pt oferta'!#REF!</definedName>
    <definedName name="_Hlk77248064" localSheetId="1">'electric-degivr-agent termic'!#REF!</definedName>
    <definedName name="_xlnm.Print_Area" localSheetId="0">'calcule pt oferta'!$A$1:$G$127</definedName>
    <definedName name="_xlnm.Print_Area" localSheetId="1">'electric-degivr-agent termic'!$A$1:$G$456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2" i="17" l="1"/>
  <c r="G362" i="17"/>
  <c r="H361" i="17"/>
  <c r="G361" i="17"/>
  <c r="H140" i="17"/>
  <c r="H424" i="17" l="1"/>
  <c r="H423" i="17"/>
  <c r="G423" i="17"/>
  <c r="H422" i="17"/>
  <c r="H421" i="17"/>
  <c r="G421" i="17"/>
  <c r="H420" i="17"/>
  <c r="G420" i="17"/>
  <c r="H419" i="17"/>
  <c r="H418" i="17"/>
  <c r="G418" i="17"/>
  <c r="H417" i="17"/>
  <c r="G417" i="17"/>
  <c r="H416" i="17"/>
  <c r="H415" i="17"/>
  <c r="G415" i="17"/>
  <c r="H414" i="17"/>
  <c r="G414" i="17"/>
  <c r="H413" i="17"/>
  <c r="G413" i="17"/>
  <c r="H412" i="17"/>
  <c r="H411" i="17"/>
  <c r="G411" i="17"/>
  <c r="H410" i="17"/>
  <c r="H409" i="17"/>
  <c r="G408" i="17"/>
  <c r="H407" i="17"/>
  <c r="H405" i="17"/>
  <c r="G405" i="17"/>
  <c r="H404" i="17"/>
  <c r="H403" i="17" s="1"/>
  <c r="G404" i="17"/>
  <c r="H402" i="17"/>
  <c r="H401" i="17" s="1"/>
  <c r="G402" i="17"/>
  <c r="H400" i="17"/>
  <c r="H399" i="17" s="1"/>
  <c r="G400" i="17"/>
  <c r="H394" i="17"/>
  <c r="H393" i="17"/>
  <c r="G393" i="17"/>
  <c r="H392" i="17"/>
  <c r="G392" i="17"/>
  <c r="H390" i="17"/>
  <c r="G390" i="17"/>
  <c r="H389" i="17"/>
  <c r="G389" i="17"/>
  <c r="H388" i="17"/>
  <c r="G388" i="17"/>
  <c r="H387" i="17"/>
  <c r="G387" i="17"/>
  <c r="H386" i="17"/>
  <c r="G386" i="17"/>
  <c r="H385" i="17"/>
  <c r="G385" i="17"/>
  <c r="H384" i="17"/>
  <c r="G384" i="17"/>
  <c r="H383" i="17"/>
  <c r="G383" i="17"/>
  <c r="H382" i="17"/>
  <c r="G382" i="17"/>
  <c r="H381" i="17"/>
  <c r="G381" i="17"/>
  <c r="H380" i="17"/>
  <c r="G380" i="17"/>
  <c r="H378" i="17"/>
  <c r="H377" i="17"/>
  <c r="G377" i="17"/>
  <c r="H376" i="17"/>
  <c r="H375" i="17"/>
  <c r="H374" i="17"/>
  <c r="H373" i="17"/>
  <c r="G373" i="17"/>
  <c r="H372" i="17"/>
  <c r="H371" i="17"/>
  <c r="H370" i="17"/>
  <c r="H369" i="17"/>
  <c r="G369" i="17"/>
  <c r="H368" i="17"/>
  <c r="H367" i="17"/>
  <c r="H366" i="17"/>
  <c r="H365" i="17"/>
  <c r="G365" i="17"/>
  <c r="H364" i="17"/>
  <c r="H336" i="17"/>
  <c r="H335" i="17"/>
  <c r="G335" i="17"/>
  <c r="H334" i="17"/>
  <c r="G334" i="17"/>
  <c r="H379" i="17" l="1"/>
  <c r="H406" i="17"/>
  <c r="H363" i="17"/>
  <c r="H395" i="17"/>
  <c r="G395" i="17"/>
  <c r="H396" i="17"/>
  <c r="G396" i="17"/>
  <c r="H397" i="17"/>
  <c r="G397" i="17"/>
  <c r="G398" i="17"/>
  <c r="H398" i="17"/>
  <c r="H408" i="17"/>
  <c r="G412" i="17"/>
  <c r="G416" i="17"/>
  <c r="H360" i="17"/>
  <c r="G366" i="17"/>
  <c r="G370" i="17"/>
  <c r="G374" i="17"/>
  <c r="G378" i="17"/>
  <c r="G409" i="17"/>
  <c r="G422" i="17"/>
  <c r="G367" i="17"/>
  <c r="G371" i="17"/>
  <c r="G375" i="17"/>
  <c r="G410" i="17"/>
  <c r="G364" i="17"/>
  <c r="G368" i="17"/>
  <c r="G372" i="17"/>
  <c r="G376" i="17"/>
  <c r="G419" i="17"/>
  <c r="G394" i="17"/>
  <c r="G407" i="17"/>
  <c r="G424" i="17"/>
  <c r="H340" i="17"/>
  <c r="G340" i="17"/>
  <c r="G337" i="17"/>
  <c r="H337" i="17"/>
  <c r="H338" i="17"/>
  <c r="G338" i="17"/>
  <c r="H339" i="17"/>
  <c r="G339" i="17"/>
  <c r="G336" i="17"/>
  <c r="H391" i="17" l="1"/>
  <c r="H333" i="17"/>
  <c r="H346" i="17" l="1"/>
  <c r="G346" i="17"/>
  <c r="H191" i="17" l="1"/>
  <c r="G191" i="17"/>
  <c r="H190" i="17"/>
  <c r="G190" i="17"/>
  <c r="H189" i="17"/>
  <c r="G189" i="17"/>
  <c r="H188" i="17"/>
  <c r="G188" i="17"/>
  <c r="H187" i="17"/>
  <c r="G187" i="17"/>
  <c r="H186" i="17"/>
  <c r="G186" i="17"/>
  <c r="H185" i="17"/>
  <c r="G185" i="17"/>
  <c r="H184" i="17"/>
  <c r="G184" i="17"/>
  <c r="H183" i="17"/>
  <c r="G183" i="17"/>
  <c r="H182" i="17"/>
  <c r="G182" i="17"/>
  <c r="H156" i="17"/>
  <c r="G156" i="17"/>
  <c r="H151" i="17"/>
  <c r="G151" i="17"/>
  <c r="H155" i="17"/>
  <c r="G155" i="17"/>
  <c r="H154" i="17"/>
  <c r="G154" i="17"/>
  <c r="G150" i="17"/>
  <c r="H150" i="17"/>
  <c r="G124" i="17"/>
  <c r="H124" i="17"/>
  <c r="G125" i="17"/>
  <c r="H125" i="17"/>
  <c r="G126" i="17"/>
  <c r="H126" i="17"/>
  <c r="G127" i="17"/>
  <c r="H127" i="17"/>
  <c r="G128" i="17"/>
  <c r="H128" i="17"/>
  <c r="G129" i="17"/>
  <c r="H129" i="17"/>
  <c r="G130" i="17"/>
  <c r="H130" i="17"/>
  <c r="G131" i="17"/>
  <c r="H131" i="17"/>
  <c r="G132" i="17"/>
  <c r="H132" i="17"/>
  <c r="G133" i="17"/>
  <c r="H133" i="17"/>
  <c r="G134" i="17"/>
  <c r="H134" i="17"/>
  <c r="G135" i="17"/>
  <c r="H135" i="17"/>
  <c r="G136" i="17"/>
  <c r="H136" i="17"/>
  <c r="G137" i="17"/>
  <c r="H137" i="17"/>
  <c r="G138" i="17"/>
  <c r="H138" i="17"/>
  <c r="G139" i="17"/>
  <c r="H139" i="17"/>
  <c r="G140" i="17"/>
  <c r="G109" i="17"/>
  <c r="H109" i="17"/>
  <c r="G51" i="17"/>
  <c r="H60" i="17"/>
  <c r="G60" i="17"/>
  <c r="H59" i="17"/>
  <c r="G59" i="17"/>
  <c r="H58" i="17"/>
  <c r="G58" i="17"/>
  <c r="H181" i="17" l="1"/>
  <c r="H123" i="17"/>
  <c r="J219" i="17"/>
  <c r="H219" i="17"/>
  <c r="G219" i="17"/>
  <c r="J218" i="17"/>
  <c r="H218" i="17"/>
  <c r="G218" i="17"/>
  <c r="J217" i="17"/>
  <c r="H217" i="17"/>
  <c r="G217" i="17"/>
  <c r="J216" i="17"/>
  <c r="H216" i="17"/>
  <c r="G216" i="17"/>
  <c r="J215" i="17"/>
  <c r="H215" i="17"/>
  <c r="G215" i="17"/>
  <c r="J214" i="17"/>
  <c r="H214" i="17"/>
  <c r="G214" i="17"/>
  <c r="J213" i="17"/>
  <c r="H213" i="17"/>
  <c r="G213" i="17"/>
  <c r="J212" i="17"/>
  <c r="H212" i="17"/>
  <c r="G212" i="17"/>
  <c r="J211" i="17"/>
  <c r="H211" i="17"/>
  <c r="G211" i="17"/>
  <c r="J210" i="17"/>
  <c r="H210" i="17"/>
  <c r="G210" i="17"/>
  <c r="J209" i="17"/>
  <c r="H209" i="17"/>
  <c r="G209" i="17"/>
  <c r="J208" i="17"/>
  <c r="H208" i="17"/>
  <c r="G208" i="17"/>
  <c r="J207" i="17"/>
  <c r="H207" i="17"/>
  <c r="G207" i="17"/>
  <c r="J206" i="17"/>
  <c r="H206" i="17"/>
  <c r="G206" i="17"/>
  <c r="J205" i="17"/>
  <c r="H205" i="17"/>
  <c r="G205" i="17"/>
  <c r="J204" i="17"/>
  <c r="H204" i="17"/>
  <c r="G204" i="17"/>
  <c r="J203" i="17"/>
  <c r="H203" i="17"/>
  <c r="G203" i="17"/>
  <c r="H202" i="17" l="1"/>
  <c r="H359" i="17"/>
  <c r="G359" i="17"/>
  <c r="H358" i="17"/>
  <c r="G358" i="17"/>
  <c r="H357" i="17"/>
  <c r="G357" i="17"/>
  <c r="H355" i="17"/>
  <c r="G355" i="17"/>
  <c r="H354" i="17"/>
  <c r="G354" i="17"/>
  <c r="H353" i="17"/>
  <c r="G353" i="17"/>
  <c r="H332" i="17"/>
  <c r="G332" i="17"/>
  <c r="H351" i="17"/>
  <c r="G351" i="17"/>
  <c r="H350" i="17"/>
  <c r="G350" i="17"/>
  <c r="H349" i="17"/>
  <c r="G349" i="17"/>
  <c r="H348" i="17"/>
  <c r="G348" i="17"/>
  <c r="H347" i="17"/>
  <c r="G347" i="17"/>
  <c r="H345" i="17"/>
  <c r="G345" i="17"/>
  <c r="H344" i="17"/>
  <c r="G344" i="17"/>
  <c r="H343" i="17"/>
  <c r="G343" i="17"/>
  <c r="H342" i="17"/>
  <c r="G342" i="17"/>
  <c r="H331" i="17"/>
  <c r="G331" i="17"/>
  <c r="H330" i="17"/>
  <c r="G330" i="17"/>
  <c r="H329" i="17"/>
  <c r="G329" i="17"/>
  <c r="H328" i="17"/>
  <c r="G328" i="17"/>
  <c r="H327" i="17"/>
  <c r="G327" i="17"/>
  <c r="H326" i="17"/>
  <c r="G326" i="17"/>
  <c r="H325" i="17"/>
  <c r="G325" i="17"/>
  <c r="H324" i="17"/>
  <c r="G324" i="17"/>
  <c r="H323" i="17"/>
  <c r="G323" i="17"/>
  <c r="H322" i="17"/>
  <c r="G322" i="17"/>
  <c r="H320" i="17"/>
  <c r="G320" i="17"/>
  <c r="H319" i="17"/>
  <c r="G319" i="17"/>
  <c r="H318" i="17"/>
  <c r="G318" i="17"/>
  <c r="H317" i="17"/>
  <c r="G317" i="17"/>
  <c r="H316" i="17"/>
  <c r="G316" i="17"/>
  <c r="H315" i="17"/>
  <c r="G315" i="17"/>
  <c r="H314" i="17"/>
  <c r="G314" i="17"/>
  <c r="H313" i="17"/>
  <c r="G313" i="17"/>
  <c r="H312" i="17"/>
  <c r="G312" i="17"/>
  <c r="H311" i="17"/>
  <c r="G311" i="17"/>
  <c r="H310" i="17"/>
  <c r="G310" i="17"/>
  <c r="H309" i="17"/>
  <c r="G309" i="17"/>
  <c r="H308" i="17"/>
  <c r="G308" i="17"/>
  <c r="H307" i="17"/>
  <c r="G307" i="17"/>
  <c r="H305" i="17"/>
  <c r="G305" i="17"/>
  <c r="H304" i="17"/>
  <c r="G304" i="17"/>
  <c r="H303" i="17"/>
  <c r="G303" i="17"/>
  <c r="H302" i="17"/>
  <c r="G302" i="17"/>
  <c r="H301" i="17"/>
  <c r="G301" i="17"/>
  <c r="H300" i="17"/>
  <c r="G300" i="17"/>
  <c r="H299" i="17"/>
  <c r="G299" i="17"/>
  <c r="H298" i="17"/>
  <c r="G298" i="17"/>
  <c r="H297" i="17"/>
  <c r="G297" i="17"/>
  <c r="H296" i="17"/>
  <c r="G296" i="17"/>
  <c r="H295" i="17"/>
  <c r="G295" i="17"/>
  <c r="H294" i="17"/>
  <c r="G294" i="17"/>
  <c r="H293" i="17"/>
  <c r="G293" i="17"/>
  <c r="H292" i="17"/>
  <c r="G292" i="17"/>
  <c r="H291" i="17"/>
  <c r="G291" i="17"/>
  <c r="H290" i="17"/>
  <c r="G290" i="17"/>
  <c r="H289" i="17"/>
  <c r="G289" i="17"/>
  <c r="H288" i="17"/>
  <c r="G288" i="17"/>
  <c r="H287" i="17"/>
  <c r="G287" i="17"/>
  <c r="H286" i="17"/>
  <c r="G286" i="17"/>
  <c r="H284" i="17"/>
  <c r="H283" i="17" s="1"/>
  <c r="G284" i="17"/>
  <c r="H282" i="17"/>
  <c r="G282" i="17"/>
  <c r="H281" i="17"/>
  <c r="G281" i="17"/>
  <c r="H280" i="17"/>
  <c r="G280" i="17"/>
  <c r="H279" i="17"/>
  <c r="G279" i="17"/>
  <c r="H277" i="17"/>
  <c r="G277" i="17"/>
  <c r="H276" i="17"/>
  <c r="G276" i="17"/>
  <c r="H275" i="17"/>
  <c r="G275" i="17"/>
  <c r="H273" i="17"/>
  <c r="G273" i="17"/>
  <c r="H272" i="17"/>
  <c r="G272" i="17"/>
  <c r="H271" i="17"/>
  <c r="G271" i="17"/>
  <c r="H270" i="17"/>
  <c r="G270" i="17"/>
  <c r="H269" i="17"/>
  <c r="G269" i="17"/>
  <c r="H268" i="17"/>
  <c r="G268" i="17"/>
  <c r="H267" i="17"/>
  <c r="G267" i="17"/>
  <c r="H265" i="17"/>
  <c r="G265" i="17"/>
  <c r="H264" i="17"/>
  <c r="G264" i="17"/>
  <c r="H263" i="17"/>
  <c r="G263" i="17"/>
  <c r="H261" i="17"/>
  <c r="G261" i="17"/>
  <c r="H260" i="17"/>
  <c r="G260" i="17"/>
  <c r="H258" i="17"/>
  <c r="H257" i="17" s="1"/>
  <c r="G258" i="17"/>
  <c r="H256" i="17"/>
  <c r="G256" i="17"/>
  <c r="H255" i="17"/>
  <c r="G255" i="17"/>
  <c r="H254" i="17"/>
  <c r="G254" i="17"/>
  <c r="H253" i="17"/>
  <c r="G253" i="17"/>
  <c r="H252" i="17"/>
  <c r="G252" i="17"/>
  <c r="H251" i="17"/>
  <c r="G251" i="17"/>
  <c r="H250" i="17"/>
  <c r="G250" i="17"/>
  <c r="H245" i="17"/>
  <c r="G236" i="17"/>
  <c r="H233" i="17"/>
  <c r="G233" i="17"/>
  <c r="H232" i="17"/>
  <c r="G232" i="17"/>
  <c r="H231" i="17"/>
  <c r="G231" i="17"/>
  <c r="H230" i="17"/>
  <c r="G222" i="17"/>
  <c r="G223" i="17"/>
  <c r="G224" i="17"/>
  <c r="G225" i="17"/>
  <c r="G226" i="17"/>
  <c r="G227" i="17"/>
  <c r="G228" i="17"/>
  <c r="G221" i="17"/>
  <c r="H228" i="17"/>
  <c r="H227" i="17"/>
  <c r="H226" i="17"/>
  <c r="H225" i="17"/>
  <c r="H224" i="17"/>
  <c r="H223" i="17"/>
  <c r="H175" i="17"/>
  <c r="J173" i="17"/>
  <c r="G172" i="17"/>
  <c r="J170" i="17"/>
  <c r="J169" i="17"/>
  <c r="G167" i="17"/>
  <c r="J166" i="17"/>
  <c r="J164" i="17"/>
  <c r="G163" i="17"/>
  <c r="H159" i="17"/>
  <c r="G159" i="17"/>
  <c r="H160" i="17"/>
  <c r="G160" i="17"/>
  <c r="H157" i="17"/>
  <c r="G157" i="17"/>
  <c r="H153" i="17"/>
  <c r="G153" i="17"/>
  <c r="H152" i="17"/>
  <c r="G152" i="17"/>
  <c r="H148" i="17"/>
  <c r="G148" i="17"/>
  <c r="H147" i="17"/>
  <c r="G147" i="17"/>
  <c r="H146" i="17"/>
  <c r="G146" i="17"/>
  <c r="H145" i="17"/>
  <c r="G145" i="17"/>
  <c r="H144" i="17"/>
  <c r="G144" i="17"/>
  <c r="H143" i="17"/>
  <c r="G143" i="17"/>
  <c r="H142" i="17"/>
  <c r="G142" i="17"/>
  <c r="H122" i="17"/>
  <c r="H121" i="17" s="1"/>
  <c r="G122" i="17"/>
  <c r="H120" i="17"/>
  <c r="G120" i="17"/>
  <c r="H119" i="17"/>
  <c r="G119" i="17"/>
  <c r="H117" i="17"/>
  <c r="G117" i="17"/>
  <c r="H116" i="17"/>
  <c r="G116" i="17"/>
  <c r="H115" i="17"/>
  <c r="G115" i="17"/>
  <c r="H114" i="17"/>
  <c r="G114" i="17"/>
  <c r="H113" i="17"/>
  <c r="G113" i="17"/>
  <c r="H112" i="17"/>
  <c r="G112" i="17"/>
  <c r="H111" i="17"/>
  <c r="G111" i="17"/>
  <c r="H108" i="17"/>
  <c r="G108" i="17"/>
  <c r="H107" i="17"/>
  <c r="G107" i="17"/>
  <c r="H106" i="17"/>
  <c r="G106" i="17"/>
  <c r="H105" i="17"/>
  <c r="G105" i="17"/>
  <c r="H104" i="17"/>
  <c r="G104" i="17"/>
  <c r="H103" i="17"/>
  <c r="G103" i="17"/>
  <c r="H102" i="17"/>
  <c r="G102" i="17"/>
  <c r="H100" i="17"/>
  <c r="H99" i="17" s="1"/>
  <c r="G100" i="17"/>
  <c r="H98" i="17"/>
  <c r="G98" i="17"/>
  <c r="H97" i="17"/>
  <c r="G97" i="17"/>
  <c r="H96" i="17"/>
  <c r="G96" i="17"/>
  <c r="H95" i="17"/>
  <c r="G95" i="17"/>
  <c r="H94" i="17"/>
  <c r="G94" i="17"/>
  <c r="H93" i="17"/>
  <c r="G93" i="17"/>
  <c r="H92" i="17"/>
  <c r="G92" i="17"/>
  <c r="H91" i="17"/>
  <c r="G91" i="17"/>
  <c r="H89" i="17"/>
  <c r="G89" i="17"/>
  <c r="H88" i="17"/>
  <c r="G88" i="17"/>
  <c r="H87" i="17"/>
  <c r="G87" i="17"/>
  <c r="H86" i="17"/>
  <c r="G86" i="17"/>
  <c r="H85" i="17"/>
  <c r="G85" i="17"/>
  <c r="H84" i="17"/>
  <c r="G84" i="17"/>
  <c r="H83" i="17"/>
  <c r="G83" i="17"/>
  <c r="H82" i="17"/>
  <c r="G82" i="17"/>
  <c r="H81" i="17"/>
  <c r="G81" i="17"/>
  <c r="H80" i="17"/>
  <c r="G80" i="17"/>
  <c r="H78" i="17"/>
  <c r="G78" i="17"/>
  <c r="H77" i="17"/>
  <c r="G77" i="17"/>
  <c r="H76" i="17"/>
  <c r="G76" i="17"/>
  <c r="H75" i="17"/>
  <c r="G75" i="17"/>
  <c r="H74" i="17"/>
  <c r="G74" i="17"/>
  <c r="H73" i="17"/>
  <c r="G73" i="17"/>
  <c r="H72" i="17"/>
  <c r="G72" i="17"/>
  <c r="H71" i="17"/>
  <c r="G71" i="17"/>
  <c r="H70" i="17"/>
  <c r="G70" i="17"/>
  <c r="H69" i="17"/>
  <c r="G69" i="17"/>
  <c r="H68" i="17"/>
  <c r="G68" i="17"/>
  <c r="H67" i="17"/>
  <c r="G67" i="17"/>
  <c r="H66" i="17"/>
  <c r="G66" i="17"/>
  <c r="H65" i="17"/>
  <c r="G65" i="17"/>
  <c r="H64" i="17"/>
  <c r="G64" i="17"/>
  <c r="H63" i="17"/>
  <c r="G63" i="17"/>
  <c r="H62" i="17"/>
  <c r="G62" i="17"/>
  <c r="H57" i="17"/>
  <c r="G57" i="17"/>
  <c r="H56" i="17"/>
  <c r="G56" i="17"/>
  <c r="H55" i="17"/>
  <c r="H54" i="17" s="1"/>
  <c r="G55" i="17"/>
  <c r="H53" i="17"/>
  <c r="H52" i="17" s="1"/>
  <c r="G53" i="17"/>
  <c r="H51" i="17"/>
  <c r="H50" i="17"/>
  <c r="G50" i="17"/>
  <c r="H49" i="17"/>
  <c r="G49" i="17"/>
  <c r="H48" i="17"/>
  <c r="G48" i="17"/>
  <c r="H47" i="17"/>
  <c r="G47" i="17"/>
  <c r="H46" i="17"/>
  <c r="G46" i="17"/>
  <c r="H45" i="17"/>
  <c r="G45" i="17"/>
  <c r="H44" i="17"/>
  <c r="G44" i="17"/>
  <c r="H43" i="17"/>
  <c r="G43" i="17"/>
  <c r="H42" i="17"/>
  <c r="G42" i="17"/>
  <c r="H40" i="17"/>
  <c r="G40" i="17"/>
  <c r="H39" i="17"/>
  <c r="G39" i="17"/>
  <c r="H38" i="17"/>
  <c r="G38" i="17"/>
  <c r="H37" i="17"/>
  <c r="G37" i="17"/>
  <c r="H36" i="17"/>
  <c r="G36" i="17"/>
  <c r="H35" i="17"/>
  <c r="G35" i="17"/>
  <c r="H34" i="17"/>
  <c r="G34" i="17"/>
  <c r="H33" i="17"/>
  <c r="G33" i="17"/>
  <c r="H32" i="17"/>
  <c r="G32" i="17"/>
  <c r="H31" i="17"/>
  <c r="G31" i="17"/>
  <c r="H30" i="17"/>
  <c r="G30" i="17"/>
  <c r="H28" i="17"/>
  <c r="G28" i="17"/>
  <c r="H27" i="17"/>
  <c r="G27" i="17"/>
  <c r="H26" i="17"/>
  <c r="G26" i="17"/>
  <c r="H25" i="17"/>
  <c r="G25" i="17"/>
  <c r="H24" i="17"/>
  <c r="G24" i="17"/>
  <c r="H23" i="17"/>
  <c r="G23" i="17"/>
  <c r="H22" i="17"/>
  <c r="G22" i="17"/>
  <c r="H21" i="17"/>
  <c r="G21" i="17"/>
  <c r="H20" i="17"/>
  <c r="G20" i="17"/>
  <c r="H19" i="17"/>
  <c r="G19" i="17"/>
  <c r="H285" i="17" l="1"/>
  <c r="H158" i="17"/>
  <c r="H141" i="17"/>
  <c r="H149" i="17"/>
  <c r="H101" i="17"/>
  <c r="H321" i="17"/>
  <c r="H341" i="17"/>
  <c r="H306" i="17"/>
  <c r="H352" i="17"/>
  <c r="H356" i="17"/>
  <c r="H262" i="17"/>
  <c r="H259" i="17"/>
  <c r="H266" i="17"/>
  <c r="H274" i="17"/>
  <c r="H278" i="17"/>
  <c r="H249" i="17"/>
  <c r="H237" i="17"/>
  <c r="G240" i="17"/>
  <c r="H241" i="17"/>
  <c r="G244" i="17"/>
  <c r="G248" i="17"/>
  <c r="H229" i="17"/>
  <c r="H236" i="17"/>
  <c r="H244" i="17"/>
  <c r="H247" i="17"/>
  <c r="G247" i="17"/>
  <c r="G245" i="17"/>
  <c r="H195" i="17"/>
  <c r="G195" i="17"/>
  <c r="J174" i="17"/>
  <c r="H174" i="17"/>
  <c r="G174" i="17"/>
  <c r="G166" i="17"/>
  <c r="G175" i="17"/>
  <c r="H163" i="17"/>
  <c r="H172" i="17"/>
  <c r="J163" i="17"/>
  <c r="J175" i="17"/>
  <c r="G173" i="17"/>
  <c r="H164" i="17"/>
  <c r="H167" i="17"/>
  <c r="H170" i="17"/>
  <c r="H173" i="17"/>
  <c r="G169" i="17"/>
  <c r="H166" i="17"/>
  <c r="J172" i="17"/>
  <c r="G164" i="17"/>
  <c r="G170" i="17"/>
  <c r="J167" i="17"/>
  <c r="H169" i="17"/>
  <c r="H18" i="17"/>
  <c r="H118" i="17"/>
  <c r="H41" i="17"/>
  <c r="H110" i="17"/>
  <c r="H29" i="17"/>
  <c r="H79" i="17"/>
  <c r="H90" i="17"/>
  <c r="H61" i="17"/>
  <c r="G237" i="17" l="1"/>
  <c r="G241" i="17"/>
  <c r="H240" i="17"/>
  <c r="H248" i="17"/>
  <c r="G243" i="17"/>
  <c r="H243" i="17"/>
  <c r="H242" i="17"/>
  <c r="G242" i="17"/>
  <c r="G239" i="17"/>
  <c r="H239" i="17"/>
  <c r="G235" i="17"/>
  <c r="H235" i="17"/>
  <c r="H238" i="17"/>
  <c r="G238" i="17"/>
  <c r="H246" i="17"/>
  <c r="G246" i="17"/>
  <c r="H194" i="17"/>
  <c r="G194" i="17"/>
  <c r="H196" i="17"/>
  <c r="G196" i="17"/>
  <c r="G193" i="17"/>
  <c r="H193" i="17"/>
  <c r="J171" i="17"/>
  <c r="H171" i="17"/>
  <c r="G171" i="17"/>
  <c r="J168" i="17"/>
  <c r="H168" i="17"/>
  <c r="G168" i="17"/>
  <c r="J165" i="17"/>
  <c r="H165" i="17"/>
  <c r="G165" i="17"/>
  <c r="J162" i="17"/>
  <c r="H162" i="17"/>
  <c r="G162" i="17"/>
  <c r="H234" i="17" l="1"/>
  <c r="H192" i="17"/>
  <c r="H221" i="17"/>
  <c r="H222" i="17"/>
  <c r="H178" i="17"/>
  <c r="G178" i="17"/>
  <c r="G177" i="17"/>
  <c r="H177" i="17"/>
  <c r="G180" i="17"/>
  <c r="H180" i="17"/>
  <c r="G179" i="17"/>
  <c r="H179" i="17"/>
  <c r="H161" i="17"/>
  <c r="H220" i="17" l="1"/>
  <c r="H176" i="17"/>
  <c r="H201" i="17" l="1"/>
  <c r="G201" i="17"/>
  <c r="H199" i="17"/>
  <c r="G199" i="17"/>
  <c r="G200" i="17"/>
  <c r="H200" i="17"/>
  <c r="H198" i="17"/>
  <c r="G198" i="17"/>
  <c r="G425" i="17" l="1"/>
  <c r="G426" i="17" s="1"/>
  <c r="G427" i="17" s="1"/>
  <c r="H197" i="17"/>
  <c r="E12" i="8" l="1"/>
  <c r="E11" i="8"/>
  <c r="H75" i="8"/>
  <c r="H36" i="8"/>
  <c r="H35" i="8"/>
  <c r="H34" i="8"/>
  <c r="H33" i="8"/>
  <c r="H32" i="8"/>
  <c r="H31" i="8"/>
  <c r="G22" i="8" l="1"/>
  <c r="F22" i="8"/>
  <c r="E22" i="8"/>
  <c r="D22" i="8"/>
  <c r="E18" i="8"/>
  <c r="E17" i="8"/>
  <c r="E16" i="8"/>
  <c r="E15" i="8"/>
  <c r="E72" i="8" s="1"/>
  <c r="E14" i="8"/>
  <c r="AI60" i="8"/>
  <c r="AI48" i="8"/>
  <c r="AH36" i="8"/>
  <c r="AI36" i="8" s="1"/>
  <c r="AH35" i="8"/>
  <c r="AI35" i="8" s="1"/>
  <c r="AH34" i="8"/>
  <c r="AI34" i="8" s="1"/>
  <c r="AH33" i="8"/>
  <c r="AI33" i="8" s="1"/>
  <c r="AH32" i="8"/>
  <c r="AI32" i="8" s="1"/>
  <c r="AI31" i="8"/>
  <c r="AH31" i="8"/>
  <c r="E73" i="8" l="1"/>
  <c r="H73" i="8" s="1"/>
  <c r="E74" i="8"/>
  <c r="H74" i="8" s="1"/>
  <c r="U86" i="8"/>
  <c r="I34" i="8"/>
  <c r="I33" i="8"/>
  <c r="Y81" i="8" l="1"/>
  <c r="S86" i="8"/>
  <c r="Z81" i="8"/>
  <c r="V86" i="8"/>
  <c r="AA81" i="8"/>
  <c r="W86" i="8"/>
  <c r="M82" i="8"/>
  <c r="Z86" i="8"/>
  <c r="N82" i="8"/>
  <c r="AA86" i="8"/>
  <c r="O82" i="8"/>
  <c r="M87" i="8"/>
  <c r="R79" i="8"/>
  <c r="W82" i="8"/>
  <c r="N87" i="8"/>
  <c r="S79" i="8"/>
  <c r="Y82" i="8"/>
  <c r="O87" i="8"/>
  <c r="U79" i="8"/>
  <c r="W83" i="8"/>
  <c r="V79" i="8"/>
  <c r="Y83" i="8"/>
  <c r="W79" i="8"/>
  <c r="Z83" i="8"/>
  <c r="Y79" i="8"/>
  <c r="R84" i="8"/>
  <c r="AA79" i="8"/>
  <c r="S84" i="8"/>
  <c r="M80" i="8"/>
  <c r="V84" i="8"/>
  <c r="N80" i="8"/>
  <c r="W84" i="8"/>
  <c r="O80" i="8"/>
  <c r="Y84" i="8"/>
  <c r="R81" i="8"/>
  <c r="AA84" i="8"/>
  <c r="S81" i="8"/>
  <c r="M85" i="8"/>
  <c r="V81" i="8"/>
  <c r="Q86" i="8"/>
  <c r="W81" i="8"/>
  <c r="R86" i="8"/>
  <c r="I22" i="8"/>
  <c r="J22" i="8" s="1"/>
  <c r="E38" i="8" s="1"/>
  <c r="H38" i="8" s="1"/>
  <c r="Q80" i="8"/>
  <c r="Z82" i="8"/>
  <c r="N85" i="8"/>
  <c r="Y87" i="8"/>
  <c r="R80" i="8"/>
  <c r="AA82" i="8"/>
  <c r="O85" i="8"/>
  <c r="L79" i="8"/>
  <c r="S80" i="8"/>
  <c r="M83" i="8"/>
  <c r="Q85" i="8"/>
  <c r="U80" i="8"/>
  <c r="N83" i="8"/>
  <c r="R85" i="8"/>
  <c r="M81" i="8"/>
  <c r="Q83" i="8"/>
  <c r="S85" i="8"/>
  <c r="N81" i="8"/>
  <c r="R83" i="8"/>
  <c r="U85" i="8"/>
  <c r="O81" i="8"/>
  <c r="S83" i="8"/>
  <c r="M86" i="8"/>
  <c r="Q81" i="8"/>
  <c r="U83" i="8"/>
  <c r="N86" i="8"/>
  <c r="V83" i="8"/>
  <c r="O86" i="8"/>
  <c r="U84" i="8"/>
  <c r="Y86" i="8"/>
  <c r="L62" i="8"/>
  <c r="V80" i="8"/>
  <c r="Q82" i="8"/>
  <c r="AA83" i="8"/>
  <c r="V85" i="8"/>
  <c r="Q87" i="8"/>
  <c r="M79" i="8"/>
  <c r="W80" i="8"/>
  <c r="R82" i="8"/>
  <c r="M84" i="8"/>
  <c r="W85" i="8"/>
  <c r="R87" i="8"/>
  <c r="N79" i="8"/>
  <c r="Y80" i="8"/>
  <c r="S82" i="8"/>
  <c r="N84" i="8"/>
  <c r="Y85" i="8"/>
  <c r="S87" i="8"/>
  <c r="O79" i="8"/>
  <c r="Z80" i="8"/>
  <c r="U82" i="8"/>
  <c r="O84" i="8"/>
  <c r="Z85" i="8"/>
  <c r="X87" i="8"/>
  <c r="Q79" i="8"/>
  <c r="AA80" i="8"/>
  <c r="V82" i="8"/>
  <c r="Q84" i="8"/>
  <c r="AA85" i="8"/>
  <c r="Z87" i="8"/>
  <c r="Z79" i="8"/>
  <c r="U81" i="8"/>
  <c r="O83" i="8"/>
  <c r="Z84" i="8"/>
  <c r="P79" i="8"/>
  <c r="T79" i="8"/>
  <c r="X79" i="8"/>
  <c r="L80" i="8"/>
  <c r="P80" i="8"/>
  <c r="T80" i="8"/>
  <c r="X80" i="8"/>
  <c r="L81" i="8"/>
  <c r="P81" i="8"/>
  <c r="T81" i="8"/>
  <c r="X81" i="8"/>
  <c r="L82" i="8"/>
  <c r="P82" i="8"/>
  <c r="T82" i="8"/>
  <c r="X82" i="8"/>
  <c r="L83" i="8"/>
  <c r="P83" i="8"/>
  <c r="T83" i="8"/>
  <c r="X83" i="8"/>
  <c r="L84" i="8"/>
  <c r="P84" i="8"/>
  <c r="T84" i="8"/>
  <c r="X84" i="8"/>
  <c r="L85" i="8"/>
  <c r="P85" i="8"/>
  <c r="T85" i="8"/>
  <c r="X85" i="8"/>
  <c r="L86" i="8"/>
  <c r="P86" i="8"/>
  <c r="T86" i="8"/>
  <c r="X86" i="8"/>
  <c r="L87" i="8"/>
  <c r="P87" i="8"/>
  <c r="T87" i="8"/>
  <c r="V87" i="8"/>
  <c r="W87" i="8"/>
  <c r="AA87" i="8"/>
  <c r="U87" i="8"/>
  <c r="I36" i="8"/>
  <c r="I35" i="8"/>
  <c r="I32" i="8"/>
  <c r="I31" i="8"/>
  <c r="AI38" i="8" l="1"/>
  <c r="E61" i="8"/>
  <c r="H61" i="8" s="1"/>
  <c r="I38" i="8"/>
  <c r="G38" i="8"/>
  <c r="E39" i="8"/>
  <c r="H39" i="8" s="1"/>
  <c r="E49" i="8"/>
  <c r="H49" i="8" s="1"/>
  <c r="Q45" i="8"/>
  <c r="P45" i="8"/>
  <c r="N45" i="8"/>
  <c r="M45" i="8"/>
  <c r="V68" i="8"/>
  <c r="M62" i="8"/>
  <c r="N62" i="8"/>
  <c r="O62" i="8"/>
  <c r="L63" i="8"/>
  <c r="M63" i="8"/>
  <c r="N63" i="8"/>
  <c r="O63" i="8"/>
  <c r="L64" i="8"/>
  <c r="M64" i="8"/>
  <c r="N64" i="8"/>
  <c r="O64" i="8"/>
  <c r="L65" i="8"/>
  <c r="M65" i="8"/>
  <c r="N65" i="8"/>
  <c r="O65" i="8"/>
  <c r="L66" i="8"/>
  <c r="M66" i="8"/>
  <c r="N66" i="8"/>
  <c r="O66" i="8"/>
  <c r="L67" i="8"/>
  <c r="M67" i="8"/>
  <c r="N67" i="8"/>
  <c r="O67" i="8"/>
  <c r="L68" i="8"/>
  <c r="M68" i="8"/>
  <c r="N68" i="8"/>
  <c r="O68" i="8"/>
  <c r="L69" i="8"/>
  <c r="M69" i="8"/>
  <c r="N69" i="8"/>
  <c r="O69" i="8"/>
  <c r="L70" i="8"/>
  <c r="M70" i="8"/>
  <c r="N70" i="8"/>
  <c r="O70" i="8"/>
  <c r="P62" i="8"/>
  <c r="Q62" i="8"/>
  <c r="R62" i="8"/>
  <c r="S62" i="8"/>
  <c r="T62" i="8"/>
  <c r="U62" i="8"/>
  <c r="V62" i="8"/>
  <c r="W62" i="8"/>
  <c r="X62" i="8"/>
  <c r="Y62" i="8"/>
  <c r="Z62" i="8"/>
  <c r="AA62" i="8"/>
  <c r="P63" i="8"/>
  <c r="Q63" i="8"/>
  <c r="R63" i="8"/>
  <c r="S63" i="8"/>
  <c r="T63" i="8"/>
  <c r="U63" i="8"/>
  <c r="V63" i="8"/>
  <c r="W63" i="8"/>
  <c r="X63" i="8"/>
  <c r="Y63" i="8"/>
  <c r="Z63" i="8"/>
  <c r="AA63" i="8"/>
  <c r="P64" i="8"/>
  <c r="Q64" i="8"/>
  <c r="R64" i="8"/>
  <c r="S64" i="8"/>
  <c r="T64" i="8"/>
  <c r="U64" i="8"/>
  <c r="V64" i="8"/>
  <c r="W64" i="8"/>
  <c r="X64" i="8"/>
  <c r="Y64" i="8"/>
  <c r="Z64" i="8"/>
  <c r="AA64" i="8"/>
  <c r="P65" i="8"/>
  <c r="Q65" i="8"/>
  <c r="R65" i="8"/>
  <c r="S65" i="8"/>
  <c r="T65" i="8"/>
  <c r="U65" i="8"/>
  <c r="V65" i="8"/>
  <c r="W65" i="8"/>
  <c r="X65" i="8"/>
  <c r="Y65" i="8"/>
  <c r="Z65" i="8"/>
  <c r="AA65" i="8"/>
  <c r="P66" i="8"/>
  <c r="Q66" i="8"/>
  <c r="R66" i="8"/>
  <c r="S66" i="8"/>
  <c r="T66" i="8"/>
  <c r="U66" i="8"/>
  <c r="V66" i="8"/>
  <c r="W66" i="8"/>
  <c r="X66" i="8"/>
  <c r="Y66" i="8"/>
  <c r="Z66" i="8"/>
  <c r="AA66" i="8"/>
  <c r="P67" i="8"/>
  <c r="Q67" i="8"/>
  <c r="R67" i="8"/>
  <c r="S67" i="8"/>
  <c r="T67" i="8"/>
  <c r="U67" i="8"/>
  <c r="V67" i="8"/>
  <c r="W67" i="8"/>
  <c r="X67" i="8"/>
  <c r="Y67" i="8"/>
  <c r="Z67" i="8"/>
  <c r="AA67" i="8"/>
  <c r="P68" i="8"/>
  <c r="Q68" i="8"/>
  <c r="R68" i="8"/>
  <c r="S68" i="8"/>
  <c r="T68" i="8"/>
  <c r="U68" i="8"/>
  <c r="W68" i="8"/>
  <c r="X68" i="8"/>
  <c r="Y68" i="8"/>
  <c r="Z68" i="8"/>
  <c r="AA68" i="8"/>
  <c r="P69" i="8"/>
  <c r="Q69" i="8"/>
  <c r="R69" i="8"/>
  <c r="S69" i="8"/>
  <c r="T69" i="8"/>
  <c r="U69" i="8"/>
  <c r="V69" i="8"/>
  <c r="W69" i="8"/>
  <c r="X69" i="8"/>
  <c r="Y69" i="8"/>
  <c r="Z69" i="8"/>
  <c r="AA69" i="8"/>
  <c r="P70" i="8"/>
  <c r="Q70" i="8"/>
  <c r="R70" i="8"/>
  <c r="S70" i="8"/>
  <c r="T70" i="8"/>
  <c r="U70" i="8"/>
  <c r="V70" i="8"/>
  <c r="W70" i="8"/>
  <c r="X70" i="8"/>
  <c r="Y70" i="8"/>
  <c r="Z70" i="8"/>
  <c r="AA70" i="8"/>
  <c r="O45" i="8"/>
  <c r="L45" i="8"/>
  <c r="AI49" i="8" l="1"/>
  <c r="AI61" i="8"/>
  <c r="AI39" i="8"/>
  <c r="E30" i="8"/>
  <c r="H30" i="8" s="1"/>
  <c r="I39" i="8"/>
  <c r="G39" i="8"/>
  <c r="E62" i="8"/>
  <c r="H62" i="8" s="1"/>
  <c r="E50" i="8"/>
  <c r="H50" i="8" s="1"/>
  <c r="E40" i="8"/>
  <c r="H40" i="8" s="1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L47" i="8"/>
  <c r="M47" i="8"/>
  <c r="N47" i="8"/>
  <c r="AA53" i="8"/>
  <c r="Z53" i="8"/>
  <c r="Y53" i="8"/>
  <c r="X53" i="8"/>
  <c r="W53" i="8"/>
  <c r="V53" i="8"/>
  <c r="U53" i="8"/>
  <c r="P53" i="8"/>
  <c r="Q53" i="8"/>
  <c r="R53" i="8"/>
  <c r="S53" i="8"/>
  <c r="T53" i="8"/>
  <c r="AA50" i="8"/>
  <c r="Z50" i="8"/>
  <c r="Y50" i="8"/>
  <c r="X50" i="8"/>
  <c r="W50" i="8"/>
  <c r="V50" i="8"/>
  <c r="U50" i="8"/>
  <c r="T50" i="8"/>
  <c r="S50" i="8"/>
  <c r="R50" i="8"/>
  <c r="P50" i="8"/>
  <c r="Q50" i="8"/>
  <c r="O53" i="8"/>
  <c r="N53" i="8"/>
  <c r="M53" i="8"/>
  <c r="L53" i="8"/>
  <c r="O50" i="8"/>
  <c r="N50" i="8"/>
  <c r="M50" i="8"/>
  <c r="L50" i="8"/>
  <c r="AA52" i="8"/>
  <c r="Z52" i="8"/>
  <c r="Y52" i="8"/>
  <c r="X52" i="8"/>
  <c r="W52" i="8"/>
  <c r="V52" i="8"/>
  <c r="U52" i="8"/>
  <c r="T52" i="8"/>
  <c r="S52" i="8"/>
  <c r="AA51" i="8"/>
  <c r="Z51" i="8"/>
  <c r="Y51" i="8"/>
  <c r="X51" i="8"/>
  <c r="W51" i="8"/>
  <c r="V51" i="8"/>
  <c r="U51" i="8"/>
  <c r="T51" i="8"/>
  <c r="T49" i="8"/>
  <c r="AA49" i="8"/>
  <c r="Z49" i="8"/>
  <c r="Y49" i="8"/>
  <c r="X49" i="8"/>
  <c r="W49" i="8"/>
  <c r="V49" i="8"/>
  <c r="U49" i="8"/>
  <c r="S49" i="8"/>
  <c r="R49" i="8"/>
  <c r="Q49" i="8"/>
  <c r="AA48" i="8"/>
  <c r="Z48" i="8"/>
  <c r="Y48" i="8"/>
  <c r="X48" i="8"/>
  <c r="W48" i="8"/>
  <c r="V48" i="8"/>
  <c r="U48" i="8"/>
  <c r="T48" i="8"/>
  <c r="S48" i="8"/>
  <c r="R48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Q48" i="8"/>
  <c r="N46" i="8"/>
  <c r="R52" i="8"/>
  <c r="Q52" i="8"/>
  <c r="P52" i="8"/>
  <c r="O52" i="8"/>
  <c r="N52" i="8"/>
  <c r="M52" i="8"/>
  <c r="L52" i="8"/>
  <c r="P49" i="8"/>
  <c r="O49" i="8"/>
  <c r="N49" i="8"/>
  <c r="M49" i="8"/>
  <c r="L49" i="8"/>
  <c r="S51" i="8"/>
  <c r="R51" i="8"/>
  <c r="Q51" i="8"/>
  <c r="P51" i="8"/>
  <c r="O51" i="8"/>
  <c r="N51" i="8"/>
  <c r="M51" i="8"/>
  <c r="L51" i="8"/>
  <c r="P48" i="8"/>
  <c r="O48" i="8"/>
  <c r="N48" i="8"/>
  <c r="M48" i="8"/>
  <c r="L48" i="8"/>
  <c r="M46" i="8"/>
  <c r="L46" i="8"/>
  <c r="AA45" i="8"/>
  <c r="Z45" i="8"/>
  <c r="Y45" i="8"/>
  <c r="X45" i="8"/>
  <c r="W45" i="8"/>
  <c r="V45" i="8"/>
  <c r="U45" i="8"/>
  <c r="T45" i="8"/>
  <c r="S45" i="8"/>
  <c r="R45" i="8"/>
  <c r="G75" i="8"/>
  <c r="I49" i="8"/>
  <c r="AI50" i="8" l="1"/>
  <c r="AI62" i="8"/>
  <c r="AH30" i="8"/>
  <c r="AI30" i="8" s="1"/>
  <c r="AI40" i="8"/>
  <c r="I30" i="8"/>
  <c r="H72" i="8"/>
  <c r="I50" i="8"/>
  <c r="G40" i="8"/>
  <c r="E63" i="8"/>
  <c r="H63" i="8" s="1"/>
  <c r="I40" i="8"/>
  <c r="E41" i="8"/>
  <c r="H41" i="8" s="1"/>
  <c r="E51" i="8"/>
  <c r="H51" i="8" s="1"/>
  <c r="E29" i="8"/>
  <c r="H29" i="8" s="1"/>
  <c r="H28" i="8" s="1"/>
  <c r="G50" i="8"/>
  <c r="G49" i="8"/>
  <c r="AI41" i="8" l="1"/>
  <c r="AH29" i="8"/>
  <c r="AI29" i="8" s="1"/>
  <c r="AI51" i="8"/>
  <c r="AI63" i="8"/>
  <c r="E42" i="8"/>
  <c r="H42" i="8" s="1"/>
  <c r="E64" i="8"/>
  <c r="H64" i="8" s="1"/>
  <c r="I29" i="8"/>
  <c r="G51" i="8"/>
  <c r="E52" i="8"/>
  <c r="H52" i="8" s="1"/>
  <c r="I51" i="8"/>
  <c r="I41" i="8"/>
  <c r="G41" i="8"/>
  <c r="AI42" i="8" l="1"/>
  <c r="AI52" i="8"/>
  <c r="AI64" i="8"/>
  <c r="I42" i="8"/>
  <c r="G42" i="8"/>
  <c r="E43" i="8"/>
  <c r="H43" i="8" s="1"/>
  <c r="E53" i="8"/>
  <c r="H53" i="8" s="1"/>
  <c r="E65" i="8"/>
  <c r="H65" i="8" s="1"/>
  <c r="I52" i="8"/>
  <c r="G52" i="8"/>
  <c r="AI43" i="8" l="1"/>
  <c r="AI53" i="8"/>
  <c r="AI65" i="8"/>
  <c r="G53" i="8"/>
  <c r="E54" i="8"/>
  <c r="H54" i="8" s="1"/>
  <c r="E44" i="8"/>
  <c r="H44" i="8" s="1"/>
  <c r="I43" i="8"/>
  <c r="G43" i="8"/>
  <c r="I53" i="8"/>
  <c r="E66" i="8"/>
  <c r="H66" i="8" s="1"/>
  <c r="G74" i="8"/>
  <c r="AI44" i="8" l="1"/>
  <c r="AI54" i="8"/>
  <c r="I66" i="8"/>
  <c r="AI66" i="8"/>
  <c r="E55" i="8"/>
  <c r="H55" i="8" s="1"/>
  <c r="E45" i="8"/>
  <c r="H45" i="8" s="1"/>
  <c r="G54" i="8"/>
  <c r="I54" i="8"/>
  <c r="G44" i="8"/>
  <c r="I44" i="8"/>
  <c r="E67" i="8"/>
  <c r="H67" i="8" s="1"/>
  <c r="AI45" i="8" l="1"/>
  <c r="AI55" i="8"/>
  <c r="AI67" i="8"/>
  <c r="E56" i="8"/>
  <c r="H56" i="8" s="1"/>
  <c r="I55" i="8"/>
  <c r="G55" i="8"/>
  <c r="I45" i="8"/>
  <c r="G45" i="8"/>
  <c r="E46" i="8"/>
  <c r="H46" i="8" s="1"/>
  <c r="E68" i="8"/>
  <c r="H68" i="8" s="1"/>
  <c r="AI68" i="8" l="1"/>
  <c r="AI46" i="8"/>
  <c r="G56" i="8"/>
  <c r="AI56" i="8"/>
  <c r="E57" i="8"/>
  <c r="H57" i="8" s="1"/>
  <c r="I56" i="8"/>
  <c r="I46" i="8"/>
  <c r="G46" i="8"/>
  <c r="E47" i="8"/>
  <c r="H47" i="8" s="1"/>
  <c r="H37" i="8" s="1"/>
  <c r="E69" i="8"/>
  <c r="H69" i="8" s="1"/>
  <c r="AI69" i="8" l="1"/>
  <c r="AI47" i="8"/>
  <c r="E58" i="8"/>
  <c r="H58" i="8" s="1"/>
  <c r="AI57" i="8"/>
  <c r="G57" i="8"/>
  <c r="I57" i="8"/>
  <c r="E70" i="8"/>
  <c r="H70" i="8" s="1"/>
  <c r="H60" i="8" s="1"/>
  <c r="I47" i="8"/>
  <c r="G47" i="8"/>
  <c r="E59" i="8" l="1"/>
  <c r="I59" i="8" s="1"/>
  <c r="G58" i="8"/>
  <c r="I58" i="8"/>
  <c r="AI70" i="8"/>
  <c r="AI58" i="8"/>
  <c r="G59" i="8"/>
  <c r="AI59" i="8" l="1"/>
  <c r="AI71" i="8" s="1"/>
  <c r="AI72" i="8" s="1"/>
  <c r="E76" i="8" s="1"/>
  <c r="H59" i="8"/>
  <c r="H48" i="8" s="1"/>
  <c r="H76" i="8" l="1"/>
  <c r="H71" i="8" s="1"/>
  <c r="G76" i="8"/>
  <c r="G30" i="8" l="1"/>
  <c r="G31" i="8"/>
  <c r="G32" i="8"/>
  <c r="G33" i="8"/>
  <c r="G34" i="8"/>
  <c r="G35" i="8"/>
  <c r="G36" i="8"/>
  <c r="G73" i="8"/>
  <c r="G72" i="8"/>
  <c r="G29" i="8"/>
  <c r="G61" i="8" l="1"/>
  <c r="I61" i="8"/>
  <c r="G62" i="8"/>
  <c r="I62" i="8"/>
  <c r="G63" i="8"/>
  <c r="I63" i="8"/>
  <c r="G64" i="8"/>
  <c r="I68" i="8"/>
  <c r="G68" i="8"/>
  <c r="I64" i="8"/>
  <c r="G66" i="8"/>
  <c r="G65" i="8"/>
  <c r="I65" i="8"/>
  <c r="G67" i="8"/>
  <c r="I67" i="8"/>
  <c r="G69" i="8"/>
  <c r="I69" i="8"/>
  <c r="I70" i="8" l="1"/>
  <c r="G70" i="8"/>
  <c r="G77" i="8" s="1"/>
  <c r="G78" i="8" s="1"/>
  <c r="G79" i="8" s="1"/>
  <c r="I71" i="8" l="1"/>
  <c r="D8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1" authorId="0" shapeId="0" xr:uid="{81459932-41FE-4472-A39A-074D134DD08A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cu x in functie de material</t>
        </r>
      </text>
    </comment>
    <comment ref="E12" authorId="0" shapeId="0" xr:uid="{1D593BA5-72FC-40E0-9433-03693EA879E3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cu x in functie de material
</t>
        </r>
      </text>
    </comment>
    <comment ref="E14" authorId="0" shapeId="0" xr:uid="{4A0A4A56-F1B3-492A-A6D1-D11DC0F553C6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cu x in functie de cablul ales.</t>
        </r>
      </text>
    </comment>
    <comment ref="E15" authorId="0" shapeId="0" xr:uid="{B9784D0D-6BE5-4AA6-A1A2-14D354C65F60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cu x in functie de cablul ales.</t>
        </r>
      </text>
    </comment>
    <comment ref="E16" authorId="0" shapeId="0" xr:uid="{A33E253F-E3A6-4DA7-8FB0-0D3D78E3FE31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cu x in functie de cablul ales.</t>
        </r>
      </text>
    </comment>
    <comment ref="E17" authorId="0" shapeId="0" xr:uid="{61E2E0E0-535A-46AA-88D2-14E627471244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cu x in functie de cablul ales.</t>
        </r>
      </text>
    </comment>
    <comment ref="E18" authorId="0" shapeId="0" xr:uid="{70575F41-AE68-4F44-BD0E-080D1F792EF7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cu x in functie de cablul ales.</t>
        </r>
      </text>
    </comment>
    <comment ref="D22" authorId="0" shapeId="0" xr:uid="{3109DAE3-8FB9-4430-9429-25C1AAAC3248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manual cu valoarea dorita 20,30 sau 50mm
</t>
        </r>
      </text>
    </comment>
    <comment ref="E22" authorId="0" shapeId="0" xr:uid="{3DFDB724-CD78-4F80-A1EF-A284A621170A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cu valoarea dorita-20/-25 sau -35 grade celsius</t>
        </r>
      </text>
    </comment>
    <comment ref="F22" authorId="0" shapeId="0" xr:uid="{F39B4A19-D2E8-4AC2-A587-4E8FC7E34902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manual</t>
        </r>
      </text>
    </comment>
    <comment ref="G22" authorId="0" shapeId="0" xr:uid="{C4D07E2B-7A58-4950-BFE3-0A66D75EBA48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manual  cu  una din valoarea  corespunzatoare  din tabel a diametrului tevii </t>
        </r>
      </text>
    </comment>
    <comment ref="D83" authorId="0" shapeId="0" xr:uid="{BE479FE4-29EC-435D-8610-E568D0DDDFD1}">
      <text>
        <r>
          <rPr>
            <b/>
            <sz val="9"/>
            <color indexed="81"/>
            <rFont val="Segoe UI"/>
            <family val="2"/>
          </rPr>
          <t>Lenovo:</t>
        </r>
        <r>
          <rPr>
            <sz val="9"/>
            <color indexed="81"/>
            <rFont val="Segoe UI"/>
            <family val="2"/>
          </rPr>
          <t xml:space="preserve">
se completeaza automat</t>
        </r>
      </text>
    </comment>
  </commentList>
</comments>
</file>

<file path=xl/sharedStrings.xml><?xml version="1.0" encoding="utf-8"?>
<sst xmlns="http://schemas.openxmlformats.org/spreadsheetml/2006/main" count="1165" uniqueCount="616">
  <si>
    <t>Buna ziua,</t>
  </si>
  <si>
    <t xml:space="preserve">Nr. </t>
  </si>
  <si>
    <t>Crt.</t>
  </si>
  <si>
    <t>Cod</t>
  </si>
  <si>
    <t>Descriere</t>
  </si>
  <si>
    <t>UM</t>
  </si>
  <si>
    <t>Cant.</t>
  </si>
  <si>
    <t>Pret unitar</t>
  </si>
  <si>
    <t>[EUR fara TVA]</t>
  </si>
  <si>
    <t>Pret total</t>
  </si>
  <si>
    <t>buc.</t>
  </si>
  <si>
    <t>SC Magnum Heating SRL</t>
  </si>
  <si>
    <t xml:space="preserve">www.magnumheating.ro </t>
  </si>
  <si>
    <t>Email:</t>
  </si>
  <si>
    <t xml:space="preserve">     </t>
  </si>
  <si>
    <t xml:space="preserve">In atentia: </t>
  </si>
  <si>
    <r>
      <t>Telefon:</t>
    </r>
    <r>
      <rPr>
        <sz val="9"/>
        <color theme="1"/>
        <rFont val="Verdana"/>
        <family val="2"/>
      </rPr>
      <t xml:space="preserve"> </t>
    </r>
  </si>
  <si>
    <r>
      <t>Localitate</t>
    </r>
    <r>
      <rPr>
        <sz val="9"/>
        <color theme="1"/>
        <rFont val="Verdana"/>
        <family val="2"/>
      </rPr>
      <t xml:space="preserve">: </t>
    </r>
  </si>
  <si>
    <t>TOTAL OFERTA [EUR fara TVA]</t>
  </si>
  <si>
    <t>TOTAL OFERTA cu REDUCERE [EUR cu TVA]</t>
  </si>
  <si>
    <r>
      <t>Nota</t>
    </r>
    <r>
      <rPr>
        <sz val="9"/>
        <color theme="1"/>
        <rFont val="Verdana"/>
        <family val="2"/>
      </rPr>
      <t xml:space="preserve">: </t>
    </r>
  </si>
  <si>
    <r>
      <t xml:space="preserve">Producator Magnum Heating Olanda: </t>
    </r>
    <r>
      <rPr>
        <sz val="9"/>
        <color theme="1"/>
        <rFont val="Verdana"/>
        <family val="2"/>
      </rPr>
      <t>http://www.magnumheating.com/</t>
    </r>
  </si>
  <si>
    <r>
      <t>Valabilitate oferta</t>
    </r>
    <r>
      <rPr>
        <sz val="9"/>
        <color theme="1"/>
        <rFont val="Verdana"/>
        <family val="2"/>
      </rPr>
      <t>: 3 luni</t>
    </r>
  </si>
  <si>
    <r>
      <t>Livrare</t>
    </r>
    <r>
      <rPr>
        <sz val="9"/>
        <color theme="1"/>
        <rFont val="Verdana"/>
        <family val="2"/>
      </rPr>
      <t xml:space="preserve"> din stoc. Reperele care nu sunt pe stoc, se vor livra in maxim 7 zile lucratoare de la data comenzii.</t>
    </r>
  </si>
  <si>
    <t>Cablu degivrare MHC30 300 Watt / 10 m. / 230 Volt</t>
  </si>
  <si>
    <t>Cablu degivrare MHC30 450 Watt / 15 m. / 230 Volt</t>
  </si>
  <si>
    <t>Cablu degivrare MHC30 600 Watt / 20 m. / 230 Volt</t>
  </si>
  <si>
    <t>Cablu degivrare MHC30 750 Watt / 25 m. / 230 Volt</t>
  </si>
  <si>
    <t>Cablu degivrare MHC30 900 Watt / 30 m. / 230 Volt</t>
  </si>
  <si>
    <t>Cablu degivrare MHC30 1200 Watt / 40 m. / 230 Volt</t>
  </si>
  <si>
    <t>Cablu degivrare MHC30 1500 Watt / 50 m. / 230 Volt</t>
  </si>
  <si>
    <t>Cablu degivrare MHC30 1800 Watt / 60 m. / 230 Volt</t>
  </si>
  <si>
    <t>Cablu degivrare MHC30 2100 Watt / 70 m. / 230 Volt</t>
  </si>
  <si>
    <t>Cablu degivrare MHC30 2400 Watt / 80 m. / 230 Volt</t>
  </si>
  <si>
    <t>Cablu degivrare MHC30 3000 Watt / 100 m. / 230 Volt</t>
  </si>
  <si>
    <t>Cablu degivrare MHC30 3600 Watt / 120 m. / 230 Volt</t>
  </si>
  <si>
    <t>Cablu degivrare MHC30 4200 Watt / 140 m. / 230 Volt</t>
  </si>
  <si>
    <t>Cablu degivrare putere constanta (30 W/m) Exterior 7 mm grosime montaj beton</t>
  </si>
  <si>
    <t>Cablu incalzitor autoreglabil MTGH - 20W/m @ 10°C</t>
  </si>
  <si>
    <r>
      <t xml:space="preserve">Furnizor: </t>
    </r>
    <r>
      <rPr>
        <b/>
        <sz val="26"/>
        <rFont val="MS Sans Serif"/>
      </rPr>
      <t>MAGNUM HEATING SRL</t>
    </r>
    <r>
      <rPr>
        <b/>
        <sz val="10"/>
        <rFont val="MS Sans Serif"/>
      </rPr>
      <t xml:space="preserve">
Reg. com: J40/8589/2014
CIF: RO33404978
Adresa: Intr. Invingatorilor nr. 27A, Bucuresti, Jud. sector 3
IBAN : RO50BREL0002003055820100
Banca: LIBRA BANK
</t>
    </r>
  </si>
  <si>
    <t>Cablu degivrare MHC30 3400 Watt / 113,4 m./230 Volt</t>
  </si>
  <si>
    <t>Materiale degivrare electrica</t>
  </si>
  <si>
    <t>Chit cablu protectie inghet conducte  1 m - 10 W</t>
  </si>
  <si>
    <t>Chit cablu protectie inghet conducte 2 m - 20 W</t>
  </si>
  <si>
    <t>Chit cablu protectie inghet conducte 4 m - 40 W</t>
  </si>
  <si>
    <t>Chit cablu protectie inghet conducte 6 m - 60 W</t>
  </si>
  <si>
    <t>Chit cablu protectie inghet conducte 8 m - 80 W</t>
  </si>
  <si>
    <t>Chit cablu protectie inghet conducte 10 m - 100 W</t>
  </si>
  <si>
    <t>Chit cablu protectie inghet conducte 14 m - 140 W</t>
  </si>
  <si>
    <t>Chit cablu protectie inghet conducte 18 m - 180 W</t>
  </si>
  <si>
    <t>Chit cablu protectie inghet conducte 22 m - 220 W</t>
  </si>
  <si>
    <t>Chit cablu protectie inghet conducte 26 m - 260 W</t>
  </si>
  <si>
    <t>Chit cablu protectie inghet conducte 30 m - 300 W</t>
  </si>
  <si>
    <t>Chit cablu protectie inghet conducte 34 m - 340 W</t>
  </si>
  <si>
    <t>Chit cablu protectie inghet conducte 40 m - 400 W</t>
  </si>
  <si>
    <t>Chit cablu protectie inghet conducte 48 m - 480 W</t>
  </si>
  <si>
    <t xml:space="preserve">Chit cablu degivrare conducte cu stecher cablu alimentare si termostat 10 W / ml </t>
  </si>
  <si>
    <t>Consultant vanzari:ing.Mihail Macovei</t>
  </si>
  <si>
    <t>mail:mihail.macovei@magnumheating.ro</t>
  </si>
  <si>
    <t>Telefon:0760.043.655</t>
  </si>
  <si>
    <t>Banda scotch aluminiu MAGNUM - 22,5 m x 5 cm</t>
  </si>
  <si>
    <t>rola</t>
  </si>
  <si>
    <t>REDUCERE PENTRU PLATA IN AVANS [EUR fara TVA]</t>
  </si>
  <si>
    <t>Cablu degivrare putere constanta (30 W/m) Exterior 7 mm grosime montaj asfalt</t>
  </si>
  <si>
    <t>Cablu degivrare MHC30 1900 Watt / 63,4 m. / 230 Volt</t>
  </si>
  <si>
    <t>Cablu degivrare MHC30 3400 Watt / 113,4 m. / 230 Volt</t>
  </si>
  <si>
    <t>Covor degivrare  pentru exterior 200 W / mp  montaj in adeziv 4 mm grosime</t>
  </si>
  <si>
    <t>210202</t>
  </si>
  <si>
    <t>Covor degivrare  pentru exterior 300 W / mp  montaj beton 7 mm grosime</t>
  </si>
  <si>
    <t xml:space="preserve">Catre: </t>
  </si>
  <si>
    <t>In atentia:</t>
  </si>
  <si>
    <t>MT-Chit conectare mansoane termocontractabile</t>
  </si>
  <si>
    <r>
      <t xml:space="preserve">Va multumim pentru cererea de oferta si va prezentam mai jos propunerea noastra pentru sistemul de degivrare </t>
    </r>
    <r>
      <rPr>
        <b/>
        <sz val="9"/>
        <color theme="1"/>
        <rFont val="Verdana"/>
        <family val="2"/>
      </rPr>
      <t>Magnum Trace - Olanda.</t>
    </r>
  </si>
  <si>
    <t>Accesorii montaj cablu autoreglabil</t>
  </si>
  <si>
    <t>Cablu incalzitor autoreglabil MTM 11 W/m @ 10°C</t>
  </si>
  <si>
    <t>Cablu incalzitor autoreglabil MTM 17 W / m @ 10°C</t>
  </si>
  <si>
    <t>Cablu incalzitor autoreglabil MTW - 10 W/m @ 10°C</t>
  </si>
  <si>
    <t>Cablu incalzitor autoreglabil MTHW-9 W/m @ 55°C</t>
  </si>
  <si>
    <t>Cablu incalzitor autoreglabil MTHW-12 W/9 @ 65°C</t>
  </si>
  <si>
    <t>Cablu incalzitor autoreglabil MTR - 25 W/m@ 10°C</t>
  </si>
  <si>
    <t>Cablu incalzitor autoreglabil MTR - 33 W/ m@ 10°C</t>
  </si>
  <si>
    <t>ml.</t>
  </si>
  <si>
    <t xml:space="preserve"> </t>
  </si>
  <si>
    <t>set</t>
  </si>
  <si>
    <t xml:space="preserve">Necesar
incapere </t>
  </si>
  <si>
    <t>[W]</t>
  </si>
  <si>
    <r>
      <t>1. Oferta prezentata este estimativa si nu tine loc de proiect. Aceasta se poate modifica in functie de situatia reala sau in functie de calculul din proiect.</t>
    </r>
    <r>
      <rPr>
        <b/>
        <sz val="9"/>
        <color theme="1"/>
        <rFont val="Verdana"/>
        <family val="2"/>
      </rPr>
      <t xml:space="preserve"> </t>
    </r>
  </si>
  <si>
    <r>
      <t>Garantie</t>
    </r>
    <r>
      <rPr>
        <sz val="9"/>
        <color theme="1"/>
        <rFont val="Verdana"/>
        <family val="2"/>
      </rPr>
      <t>:10 ani cablu, 2 ani automatizare.</t>
    </r>
  </si>
  <si>
    <t>ETI-1551 Termostat -10/+50°C, 230V  10A</t>
  </si>
  <si>
    <r>
      <t xml:space="preserve">2. Puterea instalata minima necesara pentru sistemul de incalzire in  </t>
    </r>
    <r>
      <rPr>
        <b/>
        <sz val="9"/>
        <color theme="1"/>
        <rFont val="Verdana"/>
        <family val="2"/>
      </rPr>
      <t xml:space="preserve"> [ kW ]</t>
    </r>
    <r>
      <rPr>
        <sz val="9"/>
        <color theme="1"/>
        <rFont val="Verdana"/>
        <family val="2"/>
      </rPr>
      <t xml:space="preserve">  =</t>
    </r>
  </si>
  <si>
    <t>Diametru teava [mm]</t>
  </si>
  <si>
    <t>Lungime
[ml]</t>
  </si>
  <si>
    <t>Material
conducta</t>
  </si>
  <si>
    <t>Metal</t>
  </si>
  <si>
    <t>Diametru 
[mm]</t>
  </si>
  <si>
    <t>Cablu  incalzitor autoreglabil Magnum Trace Micro</t>
  </si>
  <si>
    <t xml:space="preserve">ETN-4 Termostat digital-20 / + 70 degrees 16A - 230 Volt + senzor pardoseala </t>
  </si>
  <si>
    <t>Oferta nr. / 10.03.2024</t>
  </si>
  <si>
    <t>Grosime
izolatie</t>
  </si>
  <si>
    <t>DN</t>
  </si>
  <si>
    <t>mm</t>
  </si>
  <si>
    <t xml:space="preserve">MAGNUM Cable 300 W - 17,6 m </t>
  </si>
  <si>
    <t xml:space="preserve">MAGNUM Cable 500 W - 29,4 m </t>
  </si>
  <si>
    <t xml:space="preserve">MAGNUM Cable 700 W - 41,2 m </t>
  </si>
  <si>
    <t xml:space="preserve">MAGNUM Cable 1000 W - 58,8 m </t>
  </si>
  <si>
    <t>MAGNUM Cable 1250 W - 73,5 m</t>
  </si>
  <si>
    <t>MAGNUM Cable 1500 W - 88,2 m</t>
  </si>
  <si>
    <t>MAGNUM Cable 1700 W - 100 m</t>
  </si>
  <si>
    <t xml:space="preserve">MAGNUM Cable 2100 W - 123,5 m </t>
  </si>
  <si>
    <t xml:space="preserve">MAGNUM Cable 2600 W - 152,9 m </t>
  </si>
  <si>
    <t>MAGNUM Cable 2900 W - 170,6 m</t>
  </si>
  <si>
    <t xml:space="preserve">MAGNUM Cable 3300 W - 194,1 m </t>
  </si>
  <si>
    <t xml:space="preserve">Tip cablu
</t>
  </si>
  <si>
    <t>10W/ml</t>
  </si>
  <si>
    <t>Cablu incalzire in pardoseala 100 W - 10 m</t>
  </si>
  <si>
    <t>Cablu incalzire in pardoseala 200 W - 20 m</t>
  </si>
  <si>
    <t>Cablu incalzire in pardoseala 300 W - 30 m</t>
  </si>
  <si>
    <t xml:space="preserve">Cablu incalzire in pardoseala 400 W - 40 m </t>
  </si>
  <si>
    <t>Cablu incalzire in pardoseala 600 W - 60 m</t>
  </si>
  <si>
    <t>Cablu incalzire in pardoseala 800 W - 80 m</t>
  </si>
  <si>
    <t>Cablu incalzire in pardoseala 1000 W - 100 m</t>
  </si>
  <si>
    <t>Cablu incalzire in pardoseala 1200 W - 120 m</t>
  </si>
  <si>
    <t>Cablu incalzire in pardoseala 1500 W - 150 m</t>
  </si>
  <si>
    <t>Cablu incalzire in pardoseala 1900 W - 190 m</t>
  </si>
  <si>
    <t>Izolatie
# [mm]</t>
  </si>
  <si>
    <r>
      <rPr>
        <b/>
        <sz val="10"/>
        <color theme="1"/>
        <rFont val="Calibri"/>
        <family val="2"/>
      </rPr>
      <t>∆</t>
    </r>
    <r>
      <rPr>
        <b/>
        <sz val="10"/>
        <color theme="1"/>
        <rFont val="Verdana"/>
        <family val="2"/>
      </rPr>
      <t>T,</t>
    </r>
    <r>
      <rPr>
        <b/>
        <sz val="10"/>
        <color theme="1"/>
        <rFont val="Calibri"/>
        <family val="2"/>
      </rPr>
      <t>°</t>
    </r>
    <r>
      <rPr>
        <b/>
        <sz val="10"/>
        <color theme="1"/>
        <rFont val="Verdana"/>
        <family val="2"/>
      </rPr>
      <t>C</t>
    </r>
  </si>
  <si>
    <t>∆T,°C</t>
  </si>
  <si>
    <t>½</t>
  </si>
  <si>
    <t>¾</t>
  </si>
  <si>
    <t>1¼</t>
  </si>
  <si>
    <t>1½</t>
  </si>
  <si>
    <t>2½</t>
  </si>
  <si>
    <t>3½</t>
  </si>
  <si>
    <t>4½</t>
  </si>
  <si>
    <t>inch</t>
  </si>
  <si>
    <t xml:space="preserve">MTM 11W/ml </t>
  </si>
  <si>
    <t xml:space="preserve">MTM 17W/ml </t>
  </si>
  <si>
    <t>Pehd,PPR,PVC</t>
  </si>
  <si>
    <t>17W/ml</t>
  </si>
  <si>
    <t>ETF-633 Senzor de conducta -40/+120°C</t>
  </si>
  <si>
    <t>Cablu incalzire pardoseala - 17 W/ml, 7 mm grosime</t>
  </si>
  <si>
    <t>Cablu incalzire pardoseala - 10 W/ml, 7 mm grosime</t>
  </si>
  <si>
    <t>Auto MTM 11W/m</t>
  </si>
  <si>
    <t>Auto MTM 17W/m</t>
  </si>
  <si>
    <t>metri cablu 11w/ml</t>
  </si>
  <si>
    <t>metri cablu 17w/ml</t>
  </si>
  <si>
    <t>Cablu incalzire pardoseala - 20 W/ml, 7 mm grosime</t>
  </si>
  <si>
    <t xml:space="preserve">MAGNUM Cable 300 W - 15 m </t>
  </si>
  <si>
    <t xml:space="preserve">MAGNUM Cable 500 W - 25 m </t>
  </si>
  <si>
    <t xml:space="preserve">MAGNUM Cable 1000 W - 50 m </t>
  </si>
  <si>
    <t>MAGNUM Cable 1600 W - 80 m</t>
  </si>
  <si>
    <t>MAGNUM Cable 1200 W - 60 m</t>
  </si>
  <si>
    <t>MAGNUM Cable 3200 W - 160 m</t>
  </si>
  <si>
    <t>MAGNUM Cable 2800 W - 140 m</t>
  </si>
  <si>
    <t>MAGNUM Cable 2400 W - 120 m</t>
  </si>
  <si>
    <t>MAGNUM Cable 2000 W - 100 m</t>
  </si>
  <si>
    <t>MAGNUM Cable 1800 W - 90 m</t>
  </si>
  <si>
    <t>Putere necesara W/ml</t>
  </si>
  <si>
    <t>20W/ml</t>
  </si>
  <si>
    <t>MTM 20W/ml</t>
  </si>
  <si>
    <t>metri cablu 20w/ml</t>
  </si>
  <si>
    <t>Necesar W/ ML</t>
  </si>
  <si>
    <t>Total
W</t>
  </si>
  <si>
    <t>metal</t>
  </si>
  <si>
    <t>plastic</t>
  </si>
  <si>
    <t>Catre:</t>
  </si>
  <si>
    <r>
      <t>Localitate</t>
    </r>
    <r>
      <rPr>
        <sz val="9"/>
        <color theme="1"/>
        <rFont val="Verdana"/>
        <family val="2"/>
      </rPr>
      <t>:</t>
    </r>
  </si>
  <si>
    <t>MRC</t>
  </si>
  <si>
    <t>F32</t>
  </si>
  <si>
    <t>Cablu incalzire pardoseala - 20 W/ml, 5 mm grosime, montaj in sapa/adeziv</t>
  </si>
  <si>
    <t>Cablu incalzire pardoseala - 17 W/ml, 7 mm grosime, montaj sapa</t>
  </si>
  <si>
    <t>Cablu incalzire pardoseala - 10 W/ml, 7 mm grosime, montaj sapa</t>
  </si>
  <si>
    <t>Film carbon  incalzire prin pardoseala montaj sub parchet 120W/m², 60 cm latime</t>
  </si>
  <si>
    <r>
      <t xml:space="preserve">Rola MAGNUM Foil </t>
    </r>
    <r>
      <rPr>
        <b/>
        <sz val="9"/>
        <color theme="1"/>
        <rFont val="Verdana"/>
        <family val="2"/>
      </rPr>
      <t>120 W/m² -  60 cm latime</t>
    </r>
    <r>
      <rPr>
        <sz val="9"/>
        <color theme="1"/>
        <rFont val="Verdana"/>
        <family val="2"/>
      </rPr>
      <t xml:space="preserve"> [mp/rola]</t>
    </r>
  </si>
  <si>
    <t>Film carbon incalzire pardoseala montaj parchet 140W/m², 100 cm latime</t>
  </si>
  <si>
    <r>
      <t xml:space="preserve">Rola MAGNUM Foil </t>
    </r>
    <r>
      <rPr>
        <b/>
        <sz val="9"/>
        <color theme="1"/>
        <rFont val="Verdana"/>
        <family val="2"/>
      </rPr>
      <t>140 W/m² - 100 cm latime</t>
    </r>
    <r>
      <rPr>
        <sz val="9"/>
        <color theme="1"/>
        <rFont val="Verdana"/>
        <family val="2"/>
      </rPr>
      <t xml:space="preserve"> [mp/rola]</t>
    </r>
  </si>
  <si>
    <t xml:space="preserve"> mp</t>
  </si>
  <si>
    <t>Covor incalzire pardoseala 150 W/m² (50 cm latime) ~4 mm montaj adeziv</t>
  </si>
  <si>
    <t>Covor incalzire in pardoseala 1 m² - 150 W</t>
  </si>
  <si>
    <t>Covor incalzire in pardoseala 1,5 m² - 225 W</t>
  </si>
  <si>
    <t>Covor incalzire in pardoseala 2 m² - 300 W</t>
  </si>
  <si>
    <t>Covor incalzire in pardoseala 2,5 m² - 375 W</t>
  </si>
  <si>
    <t>Covor incalzire in pardoseala 3 m² - 450 W</t>
  </si>
  <si>
    <t>Covor incalzire in pardoseala 3,5 m² - 525 W</t>
  </si>
  <si>
    <t>Covor incalzire in pardoseala 4 m² - 600 W</t>
  </si>
  <si>
    <t>Covor incalzire in pardoseala 4,5 m² - 675 W</t>
  </si>
  <si>
    <t>Covor incalzire in pardoseala 5 m² - 750 W</t>
  </si>
  <si>
    <t>Covor incalzire in pardoseala 6 m² - 900 W</t>
  </si>
  <si>
    <t>Covor incalzire in pardoseala 7 m² - 1050 W</t>
  </si>
  <si>
    <t>Covor incalzire in pardoseala 8 m² - 1200 W</t>
  </si>
  <si>
    <t>Covor incalzire in pardoseala 9 m² - 1350 W</t>
  </si>
  <si>
    <t>Covor incalzire in pardoseala 10 m² - 1500 W</t>
  </si>
  <si>
    <t>Covor incalzire in pardoseala 12 m² - 1800 W C&amp;F</t>
  </si>
  <si>
    <t xml:space="preserve">Covor incalzire in pardoseala 15 m² - 2250 W C&amp;F </t>
  </si>
  <si>
    <t xml:space="preserve">Covor incalzire in pardoseala 20 m² - 3000 W C&amp;F </t>
  </si>
  <si>
    <t xml:space="preserve">Covor incalzire in pardoseala aluminiu 1 m² - 140 W </t>
  </si>
  <si>
    <t>Covor incalzire in pardoseala aluminiu 2 m² - 280 W</t>
  </si>
  <si>
    <t>Covor incalzire in pardoseala aluminiu 3 m² - 420 W</t>
  </si>
  <si>
    <t>Covor incalzire in pardoseala aluminiu 4 m² - 560 W</t>
  </si>
  <si>
    <t>Covor incalzire in pardoseala aluminiu 5 m² - 700 W</t>
  </si>
  <si>
    <t>Covor incalzire in pardoseala aluminiu 6 m² - 840 W</t>
  </si>
  <si>
    <t>Covor incalzire in pardoseala aluminiu 7 m² - 980 W</t>
  </si>
  <si>
    <t>Covor incalzire in pardoseala aluminiu 8 m² - 1120 W</t>
  </si>
  <si>
    <t>Covor incalzire in pardoseala aluminiu 9 m² - 1260 W</t>
  </si>
  <si>
    <t>Covor incalzire in pardoseala aluminiu 10 m² - 1400 W</t>
  </si>
  <si>
    <t xml:space="preserve">Folie dezaburire oglinda </t>
  </si>
  <si>
    <t>Folie dezaburire oglinda  ø35 cm , 50 W</t>
  </si>
  <si>
    <t xml:space="preserve">buc. </t>
  </si>
  <si>
    <t>Folie dezaburire oglinda 29 x 29 cm , 27 W</t>
  </si>
  <si>
    <t>Folie dezaburire oglinda 36 x 50 cm , 50 W</t>
  </si>
  <si>
    <t>Folie dezaburire oglinda 40 x 58 cm, 65 W</t>
  </si>
  <si>
    <t>Folie dezaburire oglinda 50 x 58 cm , 70 W</t>
  </si>
  <si>
    <t>Folie dezaburire oglinda 57 x 75 cm , 100 W</t>
  </si>
  <si>
    <t>Folie dezaburire oglinda 58 x 85 cm, 120 W</t>
  </si>
  <si>
    <t xml:space="preserve">Sistem uscat Heatboard electric 12mm (izolatie polistiren cu aluminiu)
pentru cablu 10 W/ml </t>
  </si>
  <si>
    <t xml:space="preserve">Cablu incalzire in pardoseala 10 W / ml , 800 W , 80 ml / 8.9 mp </t>
  </si>
  <si>
    <t xml:space="preserve">Cablu HeatBoard incalzire pardoseala - 6 W/ml </t>
  </si>
  <si>
    <t xml:space="preserve">Cablu incalzire in pardoseala 6 W / ml , 180 W , 30 ml </t>
  </si>
  <si>
    <t xml:space="preserve">Cablu incalzire in pardoseala 6 W / ml , 300 W , 50 ml </t>
  </si>
  <si>
    <t xml:space="preserve">Cablu incalzire in pardoseala 6 W / ml ,480 W , 80 ml </t>
  </si>
  <si>
    <t xml:space="preserve">Cablu incalzire in pardoseala 6 W / ml , 600 W , 100 ml </t>
  </si>
  <si>
    <t xml:space="preserve">Cablu incalzire in pardoseala 6 W / ml , 720 W , 120 ml </t>
  </si>
  <si>
    <t xml:space="preserve">Cablu incalzire in pardoseala 6 W / ml , 900 W , 150 ml </t>
  </si>
  <si>
    <t xml:space="preserve">Cablu incalzire in pardoseala 6 W / ml , 1140 W , 190 ml </t>
  </si>
  <si>
    <t xml:space="preserve"> Panouri Radiante Infrarosu </t>
  </si>
  <si>
    <t>Panou Radiant infrarosu  59 x 59 x 4 cm, 300 W</t>
  </si>
  <si>
    <t>Panou Radiant infrarosu 119 x 59 x 4 cm, 600 W</t>
  </si>
  <si>
    <t xml:space="preserve"> Panouri Radiante Infrarosu Premium</t>
  </si>
  <si>
    <t>Panou Radiant infrarosu  59.2 x 59.2 x 4 cm, 300 W</t>
  </si>
  <si>
    <t>Termostate pentru incalzirea electrica prin pardoseala Magnum si accesorii</t>
  </si>
  <si>
    <r>
      <t xml:space="preserve">Cronotermostat MAGNUM </t>
    </r>
    <r>
      <rPr>
        <b/>
        <sz val="9"/>
        <color theme="1"/>
        <rFont val="Verdana"/>
        <family val="2"/>
      </rPr>
      <t xml:space="preserve">F32 - WIFi Control </t>
    </r>
    <r>
      <rPr>
        <sz val="9"/>
        <color theme="1"/>
        <rFont val="Verdana"/>
        <family val="2"/>
      </rPr>
      <t>, cu senzor de pardoseala inclus (montaj in doza)</t>
    </r>
  </si>
  <si>
    <r>
      <t xml:space="preserve">Termostat </t>
    </r>
    <r>
      <rPr>
        <b/>
        <sz val="9"/>
        <color theme="1"/>
        <rFont val="Verdana"/>
        <family val="2"/>
      </rPr>
      <t xml:space="preserve">ET-44  - WiIFi Control </t>
    </r>
    <r>
      <rPr>
        <sz val="9"/>
        <color theme="1"/>
        <rFont val="Verdana"/>
        <family val="2"/>
      </rPr>
      <t xml:space="preserve">, cu senzor de pardoseala inclus (montaj in doza) </t>
    </r>
  </si>
  <si>
    <r>
      <t xml:space="preserve">Termostat analogic </t>
    </r>
    <r>
      <rPr>
        <b/>
        <sz val="9"/>
        <color theme="1"/>
        <rFont val="Verdana"/>
        <family val="2"/>
      </rPr>
      <t>MTH 811</t>
    </r>
    <r>
      <rPr>
        <sz val="9"/>
        <color theme="1"/>
        <rFont val="Verdana"/>
        <family val="2"/>
      </rPr>
      <t>, cu senzor de pardoseala inclus, 16 A/230 V (montaj aparent)</t>
    </r>
  </si>
  <si>
    <r>
      <t xml:space="preserve">Senzor de pardoseala </t>
    </r>
    <r>
      <rPr>
        <b/>
        <sz val="9"/>
        <color theme="1"/>
        <rFont val="Verdana"/>
        <family val="2"/>
      </rPr>
      <t>ETF-144</t>
    </r>
  </si>
  <si>
    <t>mp</t>
  </si>
  <si>
    <r>
      <t xml:space="preserve">Izolatie Isorol </t>
    </r>
    <r>
      <rPr>
        <b/>
        <sz val="9"/>
        <color theme="1"/>
        <rFont val="Verdana"/>
        <family val="2"/>
      </rPr>
      <t>3 mm</t>
    </r>
    <r>
      <rPr>
        <sz val="9"/>
        <color theme="1"/>
        <rFont val="Verdana"/>
        <family val="2"/>
      </rPr>
      <t>, 20 m x 1.2 m (</t>
    </r>
    <r>
      <rPr>
        <b/>
        <sz val="9"/>
        <color theme="1"/>
        <rFont val="Verdana"/>
        <family val="2"/>
      </rPr>
      <t>24 mp</t>
    </r>
    <r>
      <rPr>
        <sz val="9"/>
        <color theme="1"/>
        <rFont val="Verdana"/>
        <family val="2"/>
      </rPr>
      <t>) cu folie aluminiu</t>
    </r>
  </si>
  <si>
    <t>W90100</t>
  </si>
  <si>
    <t>W91111</t>
  </si>
  <si>
    <t>Banda perimetrala 15 cm x 8 mm (25 m)</t>
  </si>
  <si>
    <t>Banda metalica fixare cablu 10 m - optional</t>
  </si>
  <si>
    <r>
      <t xml:space="preserve">Va multumim pentru cererea de oferta si va prezentam mai jos propunerea noastra cu repere  </t>
    </r>
    <r>
      <rPr>
        <b/>
        <sz val="9"/>
        <color theme="1"/>
        <rFont val="Verdana"/>
        <family val="2"/>
      </rPr>
      <t>Magnum Heating - Olanda.</t>
    </r>
  </si>
  <si>
    <r>
      <t xml:space="preserve">Izolatie pentru parchet MAGNUM </t>
    </r>
    <r>
      <rPr>
        <b/>
        <sz val="9"/>
        <color theme="1"/>
        <rFont val="Verdana"/>
        <family val="2"/>
      </rPr>
      <t>PS 6</t>
    </r>
    <r>
      <rPr>
        <sz val="9"/>
        <color theme="1"/>
        <rFont val="Verdana"/>
        <family val="2"/>
      </rPr>
      <t xml:space="preserve"> m² (10 buc. de 80 x 62 x 0,5 cm)</t>
    </r>
  </si>
  <si>
    <t>Covor degivrare exterior  2 m² - 400 W (0,5 x 4 m)</t>
  </si>
  <si>
    <t>Covor degivrare exterior  5 m² - 1000 W (0,5 x 10 m)</t>
  </si>
  <si>
    <t>Covor degivrare exterior  8 m² - 1600 W (0,5 x 16 m)</t>
  </si>
  <si>
    <t>Covor degivrare exterior 10 m² - 2000 W (0,5 x 20 m)</t>
  </si>
  <si>
    <t>Covor degivrare exterior  2 m² - 600 W (0,5 x 4 m)</t>
  </si>
  <si>
    <t>Covor degivrare exterior  5 m² - 1500 W (0,5 x 10 m)</t>
  </si>
  <si>
    <t>Covor degivrare exterior  8 m² - 2400 W (0,5 x 16 m)</t>
  </si>
  <si>
    <t>Covor degivrare exterior  10 m² - 3000 W (0,5 x 20 m)</t>
  </si>
  <si>
    <t>Accesorii cablu autoreglabil</t>
  </si>
  <si>
    <t xml:space="preserve">Chit cablu degivrare jgheaburi/burlane cu stecher cablu alimentare si termostat 30 W / ml </t>
  </si>
  <si>
    <t>Chit cablu protectie inghet jgheaburi 300 Watt / 10 m. / 230 Volt</t>
  </si>
  <si>
    <t>Chit cablu protectie inghet jgheaburi 450 Watt / 15 m. / 230 Volt</t>
  </si>
  <si>
    <t>Chit cablu protectie inghet jgheaburi 600 Watt / 20 m. / 230 Volt</t>
  </si>
  <si>
    <t>Chit cablu protectie inghet jgheaburi 750 Watt / 25 m. / 230 Volt</t>
  </si>
  <si>
    <t>Chit cablu protectie inghet jgheaburi 900 Watt / 30 m. / 230 Volt</t>
  </si>
  <si>
    <t>Chit cablu protectie inghet jgheaburi 1200 Watt / 40 m. / 230 Volt</t>
  </si>
  <si>
    <t>Chit cablu protectie inghet jgheaburi 1500 Watt / 50 m. / 230 Volt</t>
  </si>
  <si>
    <t>W63010</t>
  </si>
  <si>
    <r>
      <t xml:space="preserve">Izolatie sistem uscat cu folie aluminiu Magnum Heatboard </t>
    </r>
    <r>
      <rPr>
        <b/>
        <sz val="9"/>
        <color theme="1"/>
        <rFont val="Verdana"/>
        <family val="2"/>
      </rPr>
      <t>18 mm/4,8 mp</t>
    </r>
    <r>
      <rPr>
        <sz val="9"/>
        <color theme="1"/>
        <rFont val="Verdana"/>
        <family val="2"/>
      </rPr>
      <t xml:space="preserve"> (13 buc./pachet)</t>
    </r>
  </si>
  <si>
    <t>W62075</t>
  </si>
  <si>
    <r>
      <t xml:space="preserve">Izolatie sistem uscat MAGNUM (DBS14) </t>
    </r>
    <r>
      <rPr>
        <b/>
        <sz val="9"/>
        <color theme="1"/>
        <rFont val="Verdana"/>
        <family val="2"/>
      </rPr>
      <t>25 mm, 7,5mp</t>
    </r>
    <r>
      <rPr>
        <sz val="9"/>
        <color theme="1"/>
        <rFont val="Verdana"/>
        <family val="2"/>
      </rPr>
      <t xml:space="preserve"> (1000 x 750 x 25)mm,(10 buc./pachet)</t>
    </r>
  </si>
  <si>
    <t>W62901</t>
  </si>
  <si>
    <t>Profil Omega aluminiu (DBS14), 1000 mm x 120mm x 0,4mm) - pentru teava de 14mm</t>
  </si>
  <si>
    <r>
      <t xml:space="preserve">Sistem FiberBoard – 120cm x 60cm </t>
    </r>
    <r>
      <rPr>
        <sz val="9"/>
        <color rgb="FF000000"/>
        <rFont val="Verdana"/>
        <family val="2"/>
      </rPr>
      <t>&amp;</t>
    </r>
    <r>
      <rPr>
        <b/>
        <sz val="9"/>
        <color rgb="FF000000"/>
        <rFont val="Verdana"/>
        <family val="2"/>
      </rPr>
      <t xml:space="preserve"> 60cm x 60cm                                 </t>
    </r>
  </si>
  <si>
    <t>W63001</t>
  </si>
  <si>
    <t>W63002</t>
  </si>
  <si>
    <t>W63003</t>
  </si>
  <si>
    <t>Sistem SlimFit  - gresie, necesita sapa autonivelanta (min 15mm-max 25mm)</t>
  </si>
  <si>
    <t>W61024</t>
  </si>
  <si>
    <r>
      <t xml:space="preserve">Sistem fixare Magnum Slimfit </t>
    </r>
    <r>
      <rPr>
        <b/>
        <sz val="9"/>
        <color theme="1"/>
        <rFont val="Verdana"/>
        <family val="2"/>
      </rPr>
      <t>10mm / 2,4  mp</t>
    </r>
    <r>
      <rPr>
        <sz val="9"/>
        <color theme="1"/>
        <rFont val="Verdana"/>
        <family val="2"/>
      </rPr>
      <t xml:space="preserve"> (80 x 60 x 1,2) cm, (5 buc./pachet)</t>
    </r>
  </si>
  <si>
    <t>W61012</t>
  </si>
  <si>
    <r>
      <t xml:space="preserve">Sistem fixare Magnum Slimfit </t>
    </r>
    <r>
      <rPr>
        <b/>
        <sz val="9"/>
        <color theme="1"/>
        <rFont val="Verdana"/>
        <family val="2"/>
      </rPr>
      <t>12mm / 3,75 mp</t>
    </r>
    <r>
      <rPr>
        <sz val="9"/>
        <color theme="1"/>
        <rFont val="Verdana"/>
        <family val="2"/>
      </rPr>
      <t xml:space="preserve"> (100 x 75 x 1,4)cm, (5 buc./pachet)</t>
    </r>
  </si>
  <si>
    <t>Izolatie Isorol 3 mm, 25 m x 1 m (25 mp) cu folie aluminiu</t>
  </si>
  <si>
    <t>Izolatie Tacker(placi) IZOROL SR EPS 200 / 10mm</t>
  </si>
  <si>
    <t>W61027</t>
  </si>
  <si>
    <t>Magnum Spray 500ml, fixare suport SlimFit</t>
  </si>
  <si>
    <t>Sistem Folie Tacker – (necesita sapa de ciment; nu este inclus polistirenul extrudat)</t>
  </si>
  <si>
    <t xml:space="preserve">W90102  </t>
  </si>
  <si>
    <r>
      <t>Folie Tacker cu marcaj pe grila, 50 m x 1,5 m (</t>
    </r>
    <r>
      <rPr>
        <b/>
        <sz val="9"/>
        <color theme="1"/>
        <rFont val="Verdana"/>
        <family val="2"/>
      </rPr>
      <t>50 mp</t>
    </r>
    <r>
      <rPr>
        <sz val="9"/>
        <color theme="1"/>
        <rFont val="Verdana"/>
        <family val="2"/>
      </rPr>
      <t xml:space="preserve">)(nu este inclus  polistirenul extrudat pentru pardoseala)    </t>
    </r>
  </si>
  <si>
    <r>
      <t>Folie reflectorizanta aluminiu, 20 m x 1,5 m (</t>
    </r>
    <r>
      <rPr>
        <b/>
        <sz val="9"/>
        <color theme="1"/>
        <rFont val="Verdana"/>
        <family val="2"/>
      </rPr>
      <t>30 mp</t>
    </r>
    <r>
      <rPr>
        <sz val="9"/>
        <color theme="1"/>
        <rFont val="Verdana"/>
        <family val="2"/>
      </rPr>
      <t xml:space="preserve">) (Nu este inclus  polistirenul extrudat pentru pardoseala)  </t>
    </r>
  </si>
  <si>
    <t>W90101</t>
  </si>
  <si>
    <r>
      <t>Folie reflectorizanta aluminiu, 50 m x 1,5 m (</t>
    </r>
    <r>
      <rPr>
        <b/>
        <sz val="9"/>
        <color theme="1"/>
        <rFont val="Verdana"/>
        <family val="2"/>
      </rPr>
      <t>75 mp</t>
    </r>
    <r>
      <rPr>
        <sz val="9"/>
        <color theme="1"/>
        <rFont val="Verdana"/>
        <family val="2"/>
      </rPr>
      <t xml:space="preserve">) (Nu este inclus  polistirenul extrudat pentru pardoseala)  </t>
    </r>
  </si>
  <si>
    <t xml:space="preserve">Sistem Placa Tacker (mp) – 10m x 1m x 25mm,  (necesita sapa de ciment si nisip)                 </t>
  </si>
  <si>
    <t>W91113</t>
  </si>
  <si>
    <t>Placa izolatie Tacker IZOROL "L" Pack  EPS 100 / 25 mm</t>
  </si>
  <si>
    <t>W90105</t>
  </si>
  <si>
    <t>W90117</t>
  </si>
  <si>
    <t xml:space="preserve">Dispozitiv Tacker SR </t>
  </si>
  <si>
    <t>W90107</t>
  </si>
  <si>
    <t>Sistem cu nuturi (mp) - Placa cu nuturi cu izolatie</t>
  </si>
  <si>
    <t>W90109</t>
  </si>
  <si>
    <r>
      <t xml:space="preserve">Placa cu nuturi cu izolatie EPS 150/22mm, 1200x600 mm, </t>
    </r>
    <r>
      <rPr>
        <b/>
        <sz val="9"/>
        <color theme="1"/>
        <rFont val="Verdana"/>
        <family val="2"/>
      </rPr>
      <t>8,64 mp</t>
    </r>
    <r>
      <rPr>
        <sz val="9"/>
        <color theme="1"/>
        <rFont val="Verdana"/>
        <family val="2"/>
      </rPr>
      <t xml:space="preserve"> </t>
    </r>
    <r>
      <rPr>
        <b/>
        <sz val="9"/>
        <color theme="1"/>
        <rFont val="Verdana"/>
        <family val="2"/>
      </rPr>
      <t>/ bax</t>
    </r>
  </si>
  <si>
    <t>Accesorii</t>
  </si>
  <si>
    <t>W90113</t>
  </si>
  <si>
    <t xml:space="preserve">Suport curbare tevi 90 grd, 14 - 17 mm// 2 buc./set </t>
  </si>
  <si>
    <t>Banda perimetrala 15 cm x 8 mm cu adeziv (25 m)</t>
  </si>
  <si>
    <t>W90112</t>
  </si>
  <si>
    <t>Profil de dilatare 2 m</t>
  </si>
  <si>
    <t>W90115</t>
  </si>
  <si>
    <t>W91901</t>
  </si>
  <si>
    <t xml:space="preserve">Aditiv pentru sapa (10 kg) </t>
  </si>
  <si>
    <t>W10080</t>
  </si>
  <si>
    <t>Teava  incalzire PE-RT cu bariera de oxigen, 10x1,3 mm/80m</t>
  </si>
  <si>
    <t>W10240</t>
  </si>
  <si>
    <t>Teava  incalzire PE-RT cu bariera de oxigen, 10x1,3 mm/240m</t>
  </si>
  <si>
    <t>W12100</t>
  </si>
  <si>
    <t>Teava  incalzire PE-RT cu bariera de oxigen, 12x1,3 mm/100m</t>
  </si>
  <si>
    <t>W12300</t>
  </si>
  <si>
    <t>Teava  incalzire PE-RT cu bariera de oxigen, 12x1,3 mm/300m</t>
  </si>
  <si>
    <t>W14100</t>
  </si>
  <si>
    <t>Teava  incalzire PE-RT cu bariera de oxigen, 14x2 mm/100m</t>
  </si>
  <si>
    <t>W14120</t>
  </si>
  <si>
    <t>Teava  incalzire PE-RT cu bariera de oxigen, 14x2 mm/120m</t>
  </si>
  <si>
    <t>W14240</t>
  </si>
  <si>
    <t>Teava  incalzire PE-RT cu bariera de oxigen, 14x2 mm/240m</t>
  </si>
  <si>
    <t>W14600</t>
  </si>
  <si>
    <t>Teava  incalzire PE-RT cu bariera de oxigen, 14x2 mm/600m</t>
  </si>
  <si>
    <t>W16090</t>
  </si>
  <si>
    <t>Teava  incalzire PE-RT cu bariera de oxigen, 16x2 mm/90m</t>
  </si>
  <si>
    <t>W16120</t>
  </si>
  <si>
    <t>Teava  incalzire PE-RT cu bariera de oxigen, 16x2 mm/120m</t>
  </si>
  <si>
    <t>W16240</t>
  </si>
  <si>
    <t>Teava  incalzire PE-RT cu bariera de oxigen, 16x2 mm/240m</t>
  </si>
  <si>
    <t>W16600</t>
  </si>
  <si>
    <t>Teava  incalzire PE-RT cu bariera de oxigen, 16x2 mm/600m</t>
  </si>
  <si>
    <t>W16640</t>
  </si>
  <si>
    <t>Teava incalzire PE-XA Uponor, 16x2 mm/640 m</t>
  </si>
  <si>
    <t>W17600</t>
  </si>
  <si>
    <t>Teava  incalzire PE-RT cu bariera de oxigen, 17x2 mm/600m</t>
  </si>
  <si>
    <t>W20500</t>
  </si>
  <si>
    <t>Teava  incalzire PE-RT cu bariera de oxigen, 20x2 mm/500m</t>
  </si>
  <si>
    <t>W32002</t>
  </si>
  <si>
    <t xml:space="preserve">Distribuitor/colector premium din otel inoxidabil cu 2 intrari/iesiri, echipat cu robinete sfera 1", valve integrate, debitmetre reglabile 0-2,5l/min, aerisitor automat, manometru si kit de montaj </t>
  </si>
  <si>
    <t>W32003</t>
  </si>
  <si>
    <t xml:space="preserve">Distribuitor/colector premium din otel inoxidabil cu 3 intrari/iesiri, echipat cu robinete sfera 1", valve integrate, debitmetre reglabile 0-2,5l/min, aerisitor automat, manometru si kit de montaj </t>
  </si>
  <si>
    <t>W32004</t>
  </si>
  <si>
    <t xml:space="preserve">Distribuitor/colector premium din otel inoxidabil cu 4 intrari/iesiri, echipat cu robinete sfera 1", valve integrate, debitmetre reglabile 0-2,5l/min, aerisitor automat, manometru si kit de montaj </t>
  </si>
  <si>
    <t>W32005</t>
  </si>
  <si>
    <t xml:space="preserve">Distribuitor/colector premium din otel inoxidabil cu 5 intrari/iesiri, echipat cu robinete sfera 1", valve integrate, debitmetre reglabile 0-2,5l/min, aerisitor automat, manometru si kit de montaj </t>
  </si>
  <si>
    <t>W32006</t>
  </si>
  <si>
    <t xml:space="preserve">Distribuitor/colector premium din otel inoxidabil cu 6 intrari/iesiri, echipat cu robinete sfera 1", valve integrate, debitmetre reglabile 0-2,5l/min, aerisitor automat, manometru si kit de montaj </t>
  </si>
  <si>
    <t>W32007</t>
  </si>
  <si>
    <t xml:space="preserve">Distribuitor/colector premium din otel inoxidabil cu 7 intrari/iesiri, echipat cu robinete sfera 1", valve integrate, debitmetre reglabile 0-2,5l/min, aerisitor automat, manometru si kit de montaj </t>
  </si>
  <si>
    <t>W32008</t>
  </si>
  <si>
    <t xml:space="preserve">Distribuitor/colector premium din otel inoxidabil cu 8 intrari/iesiri, echipat cu robinete sfera 1", valve integrate, debitmetre reglabile 0-2,5l/min, aerisitor automat, manometru si kit de montaj </t>
  </si>
  <si>
    <t>W32009</t>
  </si>
  <si>
    <t xml:space="preserve">Distribuitor/colector premium din otel inoxidabil cu 9 intrari/iesiri, echipat cu robinete sfera 1", valve integrate, debitmetre reglabile 0-2,5l/min, aerisitor automat, manometru si kit de montaj </t>
  </si>
  <si>
    <t>W32010</t>
  </si>
  <si>
    <t xml:space="preserve">Distribuitor/colector premium din otel inoxidabil cu 10 intrari/iesiri, echipat cu robinete sfera 1", valve integrate, debitmetre reglabile 0-2,5l/min, aerisitor automat, manometru si kit de montaj </t>
  </si>
  <si>
    <t>W32011</t>
  </si>
  <si>
    <t xml:space="preserve">Distribuitor/colector premium din otel inoxidabil cu 11 intrari/iesiri, echipat cu robinete sfera 1", valve integrate, debitmetre reglabile 0-2,5l/min, aerisitor automat, manometru si kit de montaj </t>
  </si>
  <si>
    <t>W32012</t>
  </si>
  <si>
    <t xml:space="preserve">Distribuitor/colector premium din otel inoxidabil cu 12 intrari/iesiri, echipat cu robinete sfera 1", valve integrate, debitmetre reglabile 0-2,5l/min, aerisitor automat, manometru si kit de montaj </t>
  </si>
  <si>
    <t>W32013</t>
  </si>
  <si>
    <t xml:space="preserve">Distribuitor/colector premium din otel inoxidabil cu 13 intrari/iesiri, echipat cu robinete sfera 1", valve integrate, debitmetre reglabile 0-2,5l/min, aerisitor automat, manometru si kit de montaj </t>
  </si>
  <si>
    <t>W32014</t>
  </si>
  <si>
    <t xml:space="preserve">Distribuitor/colector premium din otel inoxidabil cu 14 intrari/iesiri, echipat cu robinete sfera 1", valve integrate, debitmetre reglabile 0-2,5l/min, aerisitor automat, manometru si kit de montaj </t>
  </si>
  <si>
    <t>W32015</t>
  </si>
  <si>
    <t xml:space="preserve">Distribuitor/colector premium din otel inoxidabil cu 15 intrari/iesiri, echipat cu robinete sfera 1", valve integrate, debitmetre reglabile 0-2,5l/min, aerisitor automat, manometru si kit de montaj </t>
  </si>
  <si>
    <t>W40001</t>
  </si>
  <si>
    <t>Distribuitor otel cu pompa electronica Grundfos Alpha 2L 1 circuit</t>
  </si>
  <si>
    <t>W40002</t>
  </si>
  <si>
    <t>Distribuitor otel cu pompa electronica Grundfos Alpha 2L 2 circuite</t>
  </si>
  <si>
    <t>W40003</t>
  </si>
  <si>
    <t>Distribuitor otel cu pompa electronica Grundfos Alpha 2L 3 circuite</t>
  </si>
  <si>
    <t>W40004</t>
  </si>
  <si>
    <t>Distribuitor otel cu pompa electronica Grundfos Alpha 2L 4 circuite</t>
  </si>
  <si>
    <t>W40005</t>
  </si>
  <si>
    <t>Distribuitor otel cu pompa electronica Grundfos Alpha 2L 5 circuite</t>
  </si>
  <si>
    <t>W40006</t>
  </si>
  <si>
    <t>Distribuitor otel cu pompa electronica Grundfos Alpha 2L 6 circuite</t>
  </si>
  <si>
    <t>W40007</t>
  </si>
  <si>
    <t>Distribuitor otel cu pompa electronica Grundfos Alpha 2L 7 circuite</t>
  </si>
  <si>
    <t>W40008</t>
  </si>
  <si>
    <t>Distribuitor otel cu pompa electronica Grundfos Alpha 2L 8 circuite</t>
  </si>
  <si>
    <t>W40009</t>
  </si>
  <si>
    <t>Distribuitor otel cu pompa electronica Grundfos Alpha 2L 9 circuite</t>
  </si>
  <si>
    <t>W40010</t>
  </si>
  <si>
    <t>Distribuitor otel cu pompa electronica Grundfos Alpha 2L 10 circuite</t>
  </si>
  <si>
    <t>W20435</t>
  </si>
  <si>
    <t>W21035</t>
  </si>
  <si>
    <t>W21135</t>
  </si>
  <si>
    <t>W21235</t>
  </si>
  <si>
    <t>W90010</t>
  </si>
  <si>
    <t>Conector eurocon 10x1,3 mm/ 2 buc./set</t>
  </si>
  <si>
    <t>W90012</t>
  </si>
  <si>
    <t>Conector eurocon 12x1,3 mm/ 2 buc./set</t>
  </si>
  <si>
    <t>W90014</t>
  </si>
  <si>
    <t>Conector eurocon 14x2 mm/2 buc./set</t>
  </si>
  <si>
    <t>W90016</t>
  </si>
  <si>
    <t>Conector eurocon 16x2 mm/2 buc./set</t>
  </si>
  <si>
    <t>Kit conexiune Push-Fit 10mm (1 x SlimFit System)/2buc</t>
  </si>
  <si>
    <t>Kit conexiune Push-Fit 10mm (2 x SlimFit System)/2buc</t>
  </si>
  <si>
    <t>Kit conexiune Push-Fit 12mm (1 x SlimFit System)/2buc</t>
  </si>
  <si>
    <t>Kit conexiune Push-Fit 12mm (2 x SlimFit System)/2buc</t>
  </si>
  <si>
    <t>Kit conexiune Push-Fit 12mm (3 x SlimFit System)/2buc</t>
  </si>
  <si>
    <t>W90002</t>
  </si>
  <si>
    <t>Varianta 1 – automatizare Magnum cu fir comanda wifi smartphone/tableta</t>
  </si>
  <si>
    <t>W81000</t>
  </si>
  <si>
    <r>
      <t xml:space="preserve">Kit unitate principala de control 8 zone, 230 V, 868 MHz  + 1 buc cronotermostat master </t>
    </r>
    <r>
      <rPr>
        <b/>
        <sz val="9"/>
        <color theme="1"/>
        <rFont val="Verdana"/>
        <family val="2"/>
      </rPr>
      <t>H64</t>
    </r>
    <r>
      <rPr>
        <sz val="9"/>
        <color theme="1"/>
        <rFont val="Verdana"/>
        <family val="2"/>
      </rPr>
      <t xml:space="preserve"> cu fir  - inclus in kit</t>
    </r>
  </si>
  <si>
    <t>W80003</t>
  </si>
  <si>
    <t>Actuator, 230 V/NC - 2 fire</t>
  </si>
  <si>
    <t>W81003</t>
  </si>
  <si>
    <r>
      <t>Cronotermostat cu fir,</t>
    </r>
    <r>
      <rPr>
        <b/>
        <sz val="9"/>
        <color theme="1"/>
        <rFont val="Verdana"/>
        <family val="2"/>
      </rPr>
      <t xml:space="preserve"> H64</t>
    </r>
  </si>
  <si>
    <t xml:space="preserve">Varianta 2 - automatizare Magnum wireless comanda wifi smartphone/tableta </t>
  </si>
  <si>
    <t>W82000</t>
  </si>
  <si>
    <r>
      <t xml:space="preserve">Kit unitate principala de control wireless 8 zone </t>
    </r>
    <r>
      <rPr>
        <b/>
        <sz val="9"/>
        <color theme="1"/>
        <rFont val="Verdana"/>
        <family val="2"/>
      </rPr>
      <t>H128</t>
    </r>
    <r>
      <rPr>
        <sz val="9"/>
        <color theme="1"/>
        <rFont val="Verdana"/>
        <family val="2"/>
      </rPr>
      <t xml:space="preserve">  + Gateway Zigbee</t>
    </r>
  </si>
  <si>
    <t>W82001</t>
  </si>
  <si>
    <r>
      <t xml:space="preserve">Cronotermostat wireless Zigbee, </t>
    </r>
    <r>
      <rPr>
        <b/>
        <sz val="9"/>
        <color theme="1"/>
        <rFont val="Verdana"/>
        <family val="2"/>
      </rPr>
      <t>H128</t>
    </r>
  </si>
  <si>
    <t>Sistem uscat HeatBoard fara sapa- parchet (recomandat 12-14mm)</t>
  </si>
  <si>
    <t>Sistem uscat DryFloor fara sapa - parchet (recomandat 10-14mm)</t>
  </si>
  <si>
    <r>
      <t>Garantie</t>
    </r>
    <r>
      <rPr>
        <sz val="9"/>
        <color theme="1"/>
        <rFont val="Verdana"/>
        <family val="2"/>
      </rPr>
      <t>:2 ani materiale instalatii, 50 ani teava, din care 10 ani cu companie asigurari, 10 ani cablu, 2 ani automatizare.</t>
    </r>
  </si>
  <si>
    <r>
      <t xml:space="preserve">REDUCERE PENTRU PLATA IN AVANS [EUR </t>
    </r>
    <r>
      <rPr>
        <b/>
        <sz val="9"/>
        <color rgb="FFFF0000"/>
        <rFont val="Verdana"/>
        <family val="2"/>
      </rPr>
      <t>fara</t>
    </r>
    <r>
      <rPr>
        <b/>
        <sz val="9"/>
        <color rgb="FF000000"/>
        <rFont val="Verdana"/>
        <family val="2"/>
      </rPr>
      <t xml:space="preserve"> TVA]</t>
    </r>
  </si>
  <si>
    <r>
      <t xml:space="preserve">TOTAL OFERTA cu REDUCERE [EUR </t>
    </r>
    <r>
      <rPr>
        <b/>
        <sz val="9"/>
        <color rgb="FFFF0000"/>
        <rFont val="Verdana"/>
        <family val="2"/>
      </rPr>
      <t>cu</t>
    </r>
    <r>
      <rPr>
        <b/>
        <sz val="9"/>
        <color theme="1"/>
        <rFont val="Verdana"/>
        <family val="2"/>
      </rPr>
      <t xml:space="preserve"> TVA]</t>
    </r>
  </si>
  <si>
    <t xml:space="preserve">           ET44</t>
  </si>
  <si>
    <t xml:space="preserve">    MTH811</t>
  </si>
  <si>
    <t xml:space="preserve">       SControl</t>
  </si>
  <si>
    <t xml:space="preserve">    H128</t>
  </si>
  <si>
    <t xml:space="preserve">      H64</t>
  </si>
  <si>
    <t xml:space="preserve">   C16</t>
  </si>
  <si>
    <t>Consultant vanzari:</t>
  </si>
  <si>
    <t>Telefon:</t>
  </si>
  <si>
    <t>Placa Gips de intoarcere FiberBoard Multi 60x60cm - 18mm pentru tub Magnum 12x1,5mm, 59kg , 0,36mp</t>
  </si>
  <si>
    <t>Placa Gips plecare distribuitor FiberBoard Connect 120x60cm - 18mm pentru tub Magnum 12x1,5mm, 15kg, 0,72mp</t>
  </si>
  <si>
    <t>Placa Gips de camp FiberBoard Connect 120x60cm - 18mm pentru tub Magnum 12x1,5mm, 15kg, 0,72mp</t>
  </si>
  <si>
    <t xml:space="preserve">Automatizare si senzori pentru degivrare </t>
  </si>
  <si>
    <t>HCC-01</t>
  </si>
  <si>
    <t>HCC - 01  Termostat digital  temperatura / Umiditate  3 x 16A - 230 Volt</t>
  </si>
  <si>
    <t>HCC-02</t>
  </si>
  <si>
    <t>HCC - 02 Termostat temperatura / Umiditate 1 x 16A - 230 Volt</t>
  </si>
  <si>
    <t>PHTE 1</t>
  </si>
  <si>
    <t>PHTE 1 Senzor  temperatura / umiditate pentru pardoseala</t>
  </si>
  <si>
    <t>PHTE 2</t>
  </si>
  <si>
    <t xml:space="preserve">PHTE 2 Senzor  umiditate pentru jgheaburi </t>
  </si>
  <si>
    <t>PHTE 3</t>
  </si>
  <si>
    <t xml:space="preserve">PHTE 3 Senzor  temperatura pentru jgheaburi </t>
  </si>
  <si>
    <t>SNEGOSA</t>
  </si>
  <si>
    <t>SNEGVOL</t>
  </si>
  <si>
    <t>SN</t>
  </si>
  <si>
    <t xml:space="preserve">Set  Termostat digital  + senzor temperatura  1 x 32A - 230 Volt </t>
  </si>
  <si>
    <t xml:space="preserve">ETN-4 Termostat digital-20 / + 70 degrees 16A - 230 Volt </t>
  </si>
  <si>
    <t>ETF-623 Senzor de conducta -40/+120°C</t>
  </si>
  <si>
    <t>ETF-144 Senzor pardoseala</t>
  </si>
  <si>
    <t xml:space="preserve">ETF-744/99 senzor temperatura exterioara </t>
  </si>
  <si>
    <t>ETO-4550 Termostat temperatura / umiditate  3 x 16A - 230 Volt</t>
  </si>
  <si>
    <t>ETR 2-Termostat temperatura / umiditate  1 x 16A - 230 Volt</t>
  </si>
  <si>
    <t>ETOG 56 Senzor  temperatura / umiditate pentru pardoseala</t>
  </si>
  <si>
    <t>ETOR 55 Senzor  umiditate pentru pardoseala jgheab</t>
  </si>
  <si>
    <t>W20835</t>
  </si>
  <si>
    <r>
      <t xml:space="preserve">Cronotermostat MAGNUM Remote Control 2 </t>
    </r>
    <r>
      <rPr>
        <b/>
        <sz val="9"/>
        <color theme="1"/>
        <rFont val="Verdana"/>
        <family val="2"/>
      </rPr>
      <t>MRC 2</t>
    </r>
    <r>
      <rPr>
        <sz val="9"/>
        <color theme="1"/>
        <rFont val="Verdana"/>
        <family val="2"/>
      </rPr>
      <t xml:space="preserve"> -</t>
    </r>
    <r>
      <rPr>
        <b/>
        <sz val="9"/>
        <color theme="1"/>
        <rFont val="Verdana"/>
        <family val="2"/>
      </rPr>
      <t xml:space="preserve"> WIFi Control </t>
    </r>
    <r>
      <rPr>
        <sz val="9"/>
        <color theme="1"/>
        <rFont val="Verdana"/>
        <family val="2"/>
      </rPr>
      <t>, cu senzor de pardoseala inclus (montaj in doza), alb</t>
    </r>
  </si>
  <si>
    <r>
      <t xml:space="preserve">Furnizor: </t>
    </r>
    <r>
      <rPr>
        <b/>
        <sz val="26"/>
        <rFont val="MS Sans Serif"/>
      </rPr>
      <t>MAGNUM HEATING SRL</t>
    </r>
    <r>
      <rPr>
        <b/>
        <sz val="10"/>
        <rFont val="MS Sans Serif"/>
      </rPr>
      <t xml:space="preserve">
Reg. com: J40/8589/2014
CIF: RO33404978
Adresa: Intr. Invingatorilor nr. 27A, Bucuresti, Jud. sector 3
IBAN :  RO56INGB0000999915150915
Banca: ING BANK NV
</t>
    </r>
  </si>
  <si>
    <t>Materiale MAGNUM HEATING</t>
  </si>
  <si>
    <t>Dispozitiv de sertizare pentru film carbon</t>
  </si>
  <si>
    <t>Set conexiune pentru 10 m² film carbon</t>
  </si>
  <si>
    <t xml:space="preserve">Covor incalzire pardoseala aluminiu parchet 140 W/m² (50 cm latime), 3mm grosime, montaj sub parchet </t>
  </si>
  <si>
    <t>Folie dezaburire oglinda 57 x 110 cm, 150 W</t>
  </si>
  <si>
    <t xml:space="preserve">Cablu pentru sistem uscat HeatBoard electric - 10 W/ml </t>
  </si>
  <si>
    <t xml:space="preserve">Cablu incalzire in pardoseala 10 W / ml , 1900 W , 190 ml / 21.1 mp </t>
  </si>
  <si>
    <t xml:space="preserve">Cablu incalzire in pardoseala 10 W / ml , 1500 W , 150 ml / 16.6 mp </t>
  </si>
  <si>
    <t xml:space="preserve">Cablu incalzire in pardoseala 10 W / ml , 1200 W , 120 ml / 13.3mp </t>
  </si>
  <si>
    <t xml:space="preserve">Cablu incalzire in pardoseala 10 W / ml , 1000 W , 100 ml / 11.1 mp </t>
  </si>
  <si>
    <t xml:space="preserve">Cablu incalzire in pardoseala 10 W / ml , 500 W , 50 ml / 5.5 mp </t>
  </si>
  <si>
    <t xml:space="preserve">Cablu incalzire in pardoseala 10 W / ml , 300 W , 30 ml / 3.3 mp </t>
  </si>
  <si>
    <t>Magnum DuoBoard 1200x600 , 3 mm , 2,8 mp/ buc. pachet</t>
  </si>
  <si>
    <t>Incalzire electrica pardoseala MAGNUM Membrana Antifisurare</t>
  </si>
  <si>
    <t>MAGNUM Membrana Antifisurare - 5 m²</t>
  </si>
  <si>
    <t>MAGNUM Membrana Antifisurare - 3 m² , 4 placi / buc. pachet</t>
  </si>
  <si>
    <t>MAGNUM Membrana Antifisurare Cablu 150W ( 150 W/mp - 1m2) -
( 113 W/mp - 1,3m2)</t>
  </si>
  <si>
    <t>MAGNUM Membrana Antifisurare Cablu 225W (150 W/mp - 1,5m2) - 
( 113 W/mp - 2m2)</t>
  </si>
  <si>
    <t>MAGNUM Membrana Antifisurare Cablu 300W (150 W/mp - 2m2) - 
( 113 W/mp - 2,6m2)</t>
  </si>
  <si>
    <t>MAGNUM Membrana Antifisurare Cablu 450W (150 W/mp - 3m2) - 
( 113 W/mp - 4m2)</t>
  </si>
  <si>
    <t>MAGNUM Membrana Antifisurare Cablu 525W (150 W/mp - 3,5m2) - 
( 113 W/mp - 4,6m2)</t>
  </si>
  <si>
    <t>MAGNUM Membrana Antifisurare Cablu 600W (150 W/mp - 4m2) - 
( 113 W/mp - 5,3m2)</t>
  </si>
  <si>
    <t>MAGNUM Membrana Antifisurare Cablu 675W (150 W/mp - 4,5m2) - 
( 113 W/mp - 6m2)</t>
  </si>
  <si>
    <t>MAGNUM Membrana Antifisurare Cablu 375W (150 W/mp - 2,5m2) - 
( 113 W/mp - 3,3m2)</t>
  </si>
  <si>
    <t>MAGNUM Membrana Antifisurare Cablu 750W (150 W/mp - 5m2) - 
( 113 W/mp - 6,6m2)</t>
  </si>
  <si>
    <t>MAGNUM Membrana Antifisurare Cablu 900W (150 W/mp - 6m2) - 
( 113 W/mp - 8m2)</t>
  </si>
  <si>
    <t>MAGNUM Membrana Antifisurare Cablu 1050W (150 W/mp - 7m2) - 
( 113 W/mp - 9,3m2)</t>
  </si>
  <si>
    <t>MAGNUM Membrana Antifisurare Cablu 1200W (150 W/mp - 8m2) - 
( 113 W/mp - 10,6m2)</t>
  </si>
  <si>
    <t>MAGNUM Membrana Antifisurare Cablu 1500W (150 W/mp - 10m2) - 
( 113 W/mp - 13,3m2)</t>
  </si>
  <si>
    <t>MAGNUM Membrana Antifisurare Cablu 1800W (150 W/mp - 12m2) - 
( 113 W/mp - 15,9m2)</t>
  </si>
  <si>
    <t>MAGNUM Membrana Antifisurare Cablu 2250W (150 W/mp - 15m2) - 
( 113 W/mp - 19,9m2)</t>
  </si>
  <si>
    <t xml:space="preserve">Izolatie incalzire electrica prin pardoseala </t>
  </si>
  <si>
    <r>
      <t xml:space="preserve">Cronotermostat </t>
    </r>
    <r>
      <rPr>
        <b/>
        <sz val="9"/>
        <color theme="1"/>
        <rFont val="Verdana"/>
        <family val="2"/>
      </rPr>
      <t xml:space="preserve">C16 - WiFi Control </t>
    </r>
    <r>
      <rPr>
        <sz val="9"/>
        <color theme="1"/>
        <rFont val="Verdana"/>
        <family val="2"/>
      </rPr>
      <t>, cu senzor de pardoseala inclus (montaj in doza)</t>
    </r>
  </si>
  <si>
    <r>
      <t xml:space="preserve">Termostat analogic  </t>
    </r>
    <r>
      <rPr>
        <b/>
        <sz val="9"/>
        <color theme="1"/>
        <rFont val="Verdana"/>
        <family val="2"/>
      </rPr>
      <t>S Control On/Off</t>
    </r>
    <r>
      <rPr>
        <sz val="9"/>
        <color theme="1"/>
        <rFont val="Verdana"/>
        <family val="2"/>
      </rPr>
      <t>, cu senzor de pardoseala inclus
(montaj in doza)</t>
    </r>
  </si>
  <si>
    <t xml:space="preserve">Accesorii montaj cablu incalzire electrica prin pardoseala </t>
  </si>
  <si>
    <t>Izolatie pentru gresie Isoplate 3 m² (5 buc. de 60 x 100 x 1 cm)</t>
  </si>
  <si>
    <r>
      <t>Folie reflectorizanta aluminiu, 50 m x 1,5 m (</t>
    </r>
    <r>
      <rPr>
        <b/>
        <sz val="9"/>
        <color theme="1"/>
        <rFont val="Verdana"/>
        <family val="2"/>
      </rPr>
      <t>75 mp</t>
    </r>
    <r>
      <rPr>
        <sz val="9"/>
        <color theme="1"/>
        <rFont val="Verdana"/>
        <family val="2"/>
      </rPr>
      <t>)</t>
    </r>
  </si>
  <si>
    <r>
      <t>Folie reflectorizanta aluminiu, 20 m x 1,5 m (</t>
    </r>
    <r>
      <rPr>
        <b/>
        <sz val="9"/>
        <color theme="1"/>
        <rFont val="Verdana"/>
        <family val="2"/>
      </rPr>
      <t>30 mp</t>
    </r>
    <r>
      <rPr>
        <sz val="9"/>
        <color theme="1"/>
        <rFont val="Verdana"/>
        <family val="2"/>
      </rPr>
      <t>)</t>
    </r>
  </si>
  <si>
    <t>Izolatie pentru gresie Isoplate 4,8 m² (8 buc. de 60 x 100 x 0,6 cm)</t>
  </si>
  <si>
    <t>W92055</t>
  </si>
  <si>
    <t>Banda perimetrala 10 cm x 5 mm (25 m)</t>
  </si>
  <si>
    <t>Cablu degivrare putere constanta (20 W/m) Exterior 5 mm grosime montaj beton</t>
  </si>
  <si>
    <t>Cablu degivrare in pardoseala 300 W / 15 m / 230 Volt</t>
  </si>
  <si>
    <t>Cablu degivrare in pardoseala 500 W / 25 m / 230 Volt</t>
  </si>
  <si>
    <t>Cablu degivrare in pardoseala 1000 W / 50 m / 230 Volt</t>
  </si>
  <si>
    <t>Cablu degivrare in pardoseala 1200 W / 60 m / 230 Volt</t>
  </si>
  <si>
    <t>Cablu degivrare in pardoseala 1600 W / 80 m / 230 Volt</t>
  </si>
  <si>
    <t>Cablu degivrare in pardoseala 1800 W / 90 m / 230 Volt</t>
  </si>
  <si>
    <t>Cablu degivrare in pardoseala 2000 W / 100 m / 230 Volt</t>
  </si>
  <si>
    <t>Cablu degivrare in pardoseala 2400 W / 120 m / 230 Volt</t>
  </si>
  <si>
    <t>Cablu degivrare in pardoseala 2800 W / 140 m / 230 Volt</t>
  </si>
  <si>
    <t>Cablu degivrare in pardoseala 3200 W / 160 m / 230 Volt</t>
  </si>
  <si>
    <t>Set  Termostat digital  + senzor temperatura / umiditate 1 x 16A - 
230 Volt pardoseala</t>
  </si>
  <si>
    <t>Set  Termostat digital  + senzor temperatura / umiditate 1 x 16A - 
 230 Volt jgheab</t>
  </si>
  <si>
    <t xml:space="preserve">Cablu  incalzitor autoreglabil </t>
  </si>
  <si>
    <t>Banda metalica fixare cablu 10 m / buc. Rola</t>
  </si>
  <si>
    <t>Cleme fixare cablu in jgheab 10 buc / set</t>
  </si>
  <si>
    <t>W90103</t>
  </si>
  <si>
    <t>Clipsuri fixare teava 40mm(300buc/set) - tacker</t>
  </si>
  <si>
    <t xml:space="preserve">Dispozitiv Tacker </t>
  </si>
  <si>
    <t xml:space="preserve">Dispozitiv derulare teava </t>
  </si>
  <si>
    <t>Distribuitor otel echipat cu pompa electronica Grundfos Alpha 2L</t>
  </si>
  <si>
    <t>W90017</t>
  </si>
  <si>
    <t>Conector eurocon 17x2 mm/2 buc./set</t>
  </si>
  <si>
    <t xml:space="preserve">Distribuitor premium otel inoxidabil complet echipat </t>
  </si>
  <si>
    <t xml:space="preserve">Cutie distribuitor / colector </t>
  </si>
  <si>
    <t>Adaptor MAGNUM si Push-Fit / Kit eurocon 3/4"</t>
  </si>
  <si>
    <t>Cutie distribuitor / colector 435 cm 435/713-813/110-160</t>
  </si>
  <si>
    <t>W20535</t>
  </si>
  <si>
    <t>Cutie distribuitor / colector 535 cm 535/713-813/110-160</t>
  </si>
  <si>
    <t>W20680</t>
  </si>
  <si>
    <t>Cutie  distribuitor / colector 680 cm 680/713-813/110-160</t>
  </si>
  <si>
    <t>Cutie  distribuitor / colector 835 cm 835/713-813/110-160</t>
  </si>
  <si>
    <t>Cutie  distribuitor / colector 1035/713-813/110-160</t>
  </si>
  <si>
    <t>Cutie  distribuitor / colector 1135/713-813/110-160</t>
  </si>
  <si>
    <t>Cutie  distribuitor / colector 1235 / 575 / 110</t>
  </si>
  <si>
    <t>buc</t>
  </si>
  <si>
    <t>Distribuitor premium  otel inoxidabil 2 circuite</t>
  </si>
  <si>
    <t>Distribuitor premium otel inoxidabil 3 circuite</t>
  </si>
  <si>
    <t>Distribuitor premium otel inoxidabil 4 circuite</t>
  </si>
  <si>
    <t>Distribuitor premium otel inoxidabil 5 circuite</t>
  </si>
  <si>
    <t>Distribuitor premium otel inoxidabil 6 circuite</t>
  </si>
  <si>
    <t>Distribuitor premium otel inoxidabil 7 circuite</t>
  </si>
  <si>
    <t>Distribuitor premium otel inoxidabil 8 circuite</t>
  </si>
  <si>
    <t>Distribuitor premium otel inoxidabil 9 circuite</t>
  </si>
  <si>
    <t>Distribuitor premium otel inoxidabil 10 circuite</t>
  </si>
  <si>
    <t>Distribuitor premium otel inoxidabil 11 circuite</t>
  </si>
  <si>
    <t>Distribuitor premium otel inoxidabil 12 circuite</t>
  </si>
  <si>
    <t>Distribuitor premium otel inoxidabil 13 circuite</t>
  </si>
  <si>
    <t>Distribuitor premium otel inoxidabil 14 circuite</t>
  </si>
  <si>
    <t>Distribuitor premium otel inoxidabil 15 circuite</t>
  </si>
  <si>
    <t xml:space="preserve">Distribuitor premium plastic compozit complet echipat </t>
  </si>
  <si>
    <t>W52002</t>
  </si>
  <si>
    <t>Distribuitor premium  plastic compozit 2 circuite</t>
  </si>
  <si>
    <t>W52003</t>
  </si>
  <si>
    <t>Distribuitor premium plastic compozit 3 circuite</t>
  </si>
  <si>
    <t>W52004</t>
  </si>
  <si>
    <t>Distribuitor premium plastic compozit 4 circuite</t>
  </si>
  <si>
    <t>W52005</t>
  </si>
  <si>
    <t>Distribuitor premium plastic compozit 5 circuite</t>
  </si>
  <si>
    <t>W52006</t>
  </si>
  <si>
    <t>Distribuitor premium plastic compozit 6 circuite</t>
  </si>
  <si>
    <t>W52007</t>
  </si>
  <si>
    <t>Distribuitor premium plastic compozit 7 circuite</t>
  </si>
  <si>
    <t>W52008</t>
  </si>
  <si>
    <t>Distribuitor premium plastic compozit 8 circuite</t>
  </si>
  <si>
    <t>W52009</t>
  </si>
  <si>
    <t>Distribuitor premium plastic compozit 9 circuite</t>
  </si>
  <si>
    <t>W52010</t>
  </si>
  <si>
    <t>Distribuitor premium plastic compozit 10 circuite</t>
  </si>
  <si>
    <t>W52011</t>
  </si>
  <si>
    <t>Distribuitor premium plastic compozit 11 circuite</t>
  </si>
  <si>
    <t>W52012</t>
  </si>
  <si>
    <t>Distribuitor premium plastic compozit 12 circuite</t>
  </si>
  <si>
    <t>Incalzire pardoseala inaltime redusa SpeeTile 10 inaltime 12 mm sapa fluida    S [mp]  =</t>
  </si>
  <si>
    <t>OTS0010</t>
  </si>
  <si>
    <t>Sistem inaltime redusa 12 mm SpeeTile 10  0.9 m²/ buc</t>
  </si>
  <si>
    <t xml:space="preserve">Incalzire  pardoseala parchet , sistem uscat , fara sapa SpeeTherm 14 mm        S [mp]  = </t>
  </si>
  <si>
    <t>NRT0010</t>
  </si>
  <si>
    <t xml:space="preserve">Izolatie sistem uscat   SpeeTherm 14 mm - 11x0.48 mp = 5mp
 ( dimensiune placa 800 x 600 x 140 mm ) </t>
  </si>
  <si>
    <t xml:space="preserve">Izolatie sistem uscat   SpeeTherm 30 mm - 11x0.48 mp = 5mp
 ( dimensiune placa 800 x 600mm ) </t>
  </si>
  <si>
    <t>NAT001098</t>
  </si>
  <si>
    <t>Profil Omega aluminiu 98mm - pentru teava de 10 mm - 50 buc / 5mp</t>
  </si>
  <si>
    <t>W91001</t>
  </si>
  <si>
    <t>Set</t>
  </si>
  <si>
    <t>W91002</t>
  </si>
  <si>
    <t xml:space="preserve">Izolatie si accesorii incalzire prin pardoseala </t>
  </si>
  <si>
    <t>Folie reflectorizanta aluminiu 20 m x 1,5 m ( 30 m² )</t>
  </si>
  <si>
    <t>Folie reflectorizanta aluminiu 50 m x 1,5 m ( 75 m² )</t>
  </si>
  <si>
    <t>OSPTRAP010</t>
  </si>
  <si>
    <t>SpeeTrap 10mm</t>
  </si>
  <si>
    <t>OSPTURN010</t>
  </si>
  <si>
    <t xml:space="preserve">SpeeTurn 10mm curba </t>
  </si>
  <si>
    <t>OKALIBRA1012</t>
  </si>
  <si>
    <t>Calibrator  10mm-12mm</t>
  </si>
  <si>
    <t>OSPTACK010</t>
  </si>
  <si>
    <t>SpeeTack agrafe 10 mm ( 100 buc )</t>
  </si>
  <si>
    <t>OSPPLUG010</t>
  </si>
  <si>
    <t>SpeeTplug10 mm ( 100 buc )</t>
  </si>
  <si>
    <t xml:space="preserve">Banda Scotch Aluminiu </t>
  </si>
  <si>
    <t>Banda perimetrala 25 m x 15 cm x 5 mm (25m/rola)</t>
  </si>
  <si>
    <t>CANSPTIGHT</t>
  </si>
  <si>
    <t>SpeeTight Spray adeziv de contact CA52R 500 ml</t>
  </si>
  <si>
    <t>VESSPTIGHT</t>
  </si>
  <si>
    <t>SpeeTight Spray adeziv de contact 22 l / 17 Kg</t>
  </si>
  <si>
    <t>OSPPRIM001</t>
  </si>
  <si>
    <t>Grund absorbant VD 1Kg</t>
  </si>
  <si>
    <t>OSPPRIM010</t>
  </si>
  <si>
    <t>Grund absorbant VD 10Kg</t>
  </si>
  <si>
    <t>BMMTOP515</t>
  </si>
  <si>
    <t>Sapa egalizare SpeeTop Egaline 25 KG</t>
  </si>
  <si>
    <t>Teava MAGNUM PE-RT 5 straturi bariera de oxigen  (aprobat KOMO - SKZ)</t>
  </si>
  <si>
    <t xml:space="preserve">Incalzire  pardoseala parchet , sistem uscat , fara sapa SpeeTherm 30 mm        S [mp]  = </t>
  </si>
  <si>
    <t>Grup mixare echipat cu pompa pompa Grundfos Alpha 1L electronica de inalta eficienta</t>
  </si>
  <si>
    <t xml:space="preserve">Grup de mixare pompa Grundfos Alpha 1L electronica </t>
  </si>
  <si>
    <t>Kit conexiune Push-Fit 10 (1 x SlimFit System) 2buc/set</t>
  </si>
  <si>
    <t>Kit conexiune Push-Fit 10 (2 x SlimFit System) 2buc/set</t>
  </si>
  <si>
    <t xml:space="preserve">Izolatie polistiren cu aluminiu 12 mm / 11 placi 78x58 cm- 5 mp / pachet </t>
  </si>
  <si>
    <r>
      <t xml:space="preserve">Izolatie Magnum Isoplate </t>
    </r>
    <r>
      <rPr>
        <b/>
        <sz val="9"/>
        <color theme="1"/>
        <rFont val="Verdana"/>
        <family val="2"/>
      </rPr>
      <t xml:space="preserve">4,8 mp </t>
    </r>
    <r>
      <rPr>
        <sz val="9"/>
        <color theme="1"/>
        <rFont val="Verdana"/>
        <family val="2"/>
      </rPr>
      <t>(60x100x0,6)cm (8buc./pachet)</t>
    </r>
  </si>
  <si>
    <r>
      <t xml:space="preserve">Izolatie Magnum Isoplate </t>
    </r>
    <r>
      <rPr>
        <b/>
        <sz val="9"/>
        <color theme="1"/>
        <rFont val="Verdana"/>
        <family val="2"/>
      </rPr>
      <t>3 mp</t>
    </r>
    <r>
      <rPr>
        <sz val="9"/>
        <color theme="1"/>
        <rFont val="Verdana"/>
        <family val="2"/>
      </rPr>
      <t xml:space="preserve">(60x100x1)cm (5buc./pachet) </t>
    </r>
  </si>
  <si>
    <r>
      <t xml:space="preserve">Izolatie pentru parchet MAGNUM </t>
    </r>
    <r>
      <rPr>
        <b/>
        <sz val="9"/>
        <color theme="1"/>
        <rFont val="Verdana"/>
        <family val="2"/>
      </rPr>
      <t>PS 6</t>
    </r>
    <r>
      <rPr>
        <sz val="9"/>
        <color theme="1"/>
        <rFont val="Verdana"/>
        <family val="2"/>
      </rPr>
      <t xml:space="preserve"> </t>
    </r>
    <r>
      <rPr>
        <b/>
        <sz val="9"/>
        <color theme="1"/>
        <rFont val="Verdana"/>
        <family val="2"/>
      </rPr>
      <t>m²</t>
    </r>
    <r>
      <rPr>
        <sz val="9"/>
        <color theme="1"/>
        <rFont val="Verdana"/>
        <family val="2"/>
      </rPr>
      <t xml:space="preserve"> (10 buc. de 80 x 62 x </t>
    </r>
    <r>
      <rPr>
        <b/>
        <sz val="9"/>
        <color theme="1"/>
        <rFont val="Verdana"/>
        <family val="2"/>
      </rPr>
      <t>0,6 cm</t>
    </r>
    <r>
      <rPr>
        <sz val="9"/>
        <color theme="1"/>
        <rFont val="Verdana"/>
        <family val="2"/>
      </rPr>
      <t>)</t>
    </r>
  </si>
  <si>
    <t>Bariera de umiditate 0,1 mm - 400 cm x 300 cm - 12 m²</t>
  </si>
  <si>
    <t>Oferta nr. 704/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</si>
</sst>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#,##0.00;\-#,##0.00;&quot;-&quot;"/>
    <numFmt numFmtId="165" formatCode="#,##0;\-#,##0;&quot;-&quot;"/>
    <numFmt numFmtId="166" formatCode="0.000"/>
    <numFmt numFmtId="167" formatCode="&quot;€&quot;\ #,##0.00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u/>
      <sz val="9"/>
      <color theme="10"/>
      <name val="Verdana"/>
      <family val="2"/>
    </font>
    <font>
      <i/>
      <sz val="11"/>
      <color rgb="FF7F7F7F"/>
      <name val="Calibri"/>
      <family val="2"/>
      <scheme val="minor"/>
    </font>
    <font>
      <b/>
      <sz val="10"/>
      <name val="MS Sans Serif"/>
    </font>
    <font>
      <b/>
      <sz val="26"/>
      <name val="MS Sans Serif"/>
    </font>
    <font>
      <b/>
      <sz val="9"/>
      <color rgb="FFFF0000"/>
      <name val="Verdana"/>
      <family val="2"/>
    </font>
    <font>
      <sz val="8"/>
      <name val="Calibri"/>
      <family val="2"/>
      <charset val="238"/>
      <scheme val="minor"/>
    </font>
    <font>
      <sz val="9"/>
      <name val="Verdana"/>
      <family val="2"/>
    </font>
    <font>
      <b/>
      <sz val="16"/>
      <color theme="1"/>
      <name val="Verdana"/>
      <family val="2"/>
    </font>
    <font>
      <b/>
      <sz val="16"/>
      <color theme="1"/>
      <name val="Calibri"/>
      <family val="2"/>
      <charset val="238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Verdana"/>
      <family val="2"/>
    </font>
    <font>
      <sz val="9"/>
      <color rgb="FF0D0D0D"/>
      <name val="Verdana"/>
      <family val="2"/>
    </font>
    <font>
      <sz val="9"/>
      <color theme="10"/>
      <name val="Verdana"/>
      <family val="2"/>
    </font>
    <font>
      <b/>
      <sz val="9"/>
      <color theme="0"/>
      <name val="Verdana"/>
      <family val="2"/>
    </font>
    <font>
      <b/>
      <sz val="16"/>
      <color rgb="FFFF0000"/>
      <name val="Verdana"/>
      <family val="2"/>
    </font>
    <font>
      <b/>
      <sz val="8"/>
      <color theme="1"/>
      <name val="Verdana"/>
      <family val="2"/>
    </font>
    <font>
      <b/>
      <sz val="12"/>
      <color rgb="FFFF0000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1"/>
      <color rgb="FF000000"/>
      <name val="Calibri"/>
      <family val="2"/>
      <charset val="204"/>
    </font>
    <font>
      <b/>
      <sz val="14"/>
      <color theme="1"/>
      <name val="Verdana"/>
      <family val="2"/>
    </font>
    <font>
      <sz val="11"/>
      <color theme="0"/>
      <name val="Calibri"/>
      <family val="2"/>
      <charset val="238"/>
      <scheme val="minor"/>
    </font>
    <font>
      <b/>
      <sz val="16"/>
      <color rgb="FF00E668"/>
      <name val="Verdana"/>
      <family val="2"/>
    </font>
    <font>
      <b/>
      <sz val="12"/>
      <color theme="0"/>
      <name val="Verdana"/>
      <family val="2"/>
    </font>
    <font>
      <sz val="9"/>
      <color rgb="FF000000"/>
      <name val="Verdana"/>
      <family val="2"/>
    </font>
    <font>
      <b/>
      <sz val="11"/>
      <name val="Calibri"/>
      <family val="2"/>
      <charset val="238"/>
      <scheme val="minor"/>
    </font>
    <font>
      <sz val="9"/>
      <color rgb="FFFF000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0F10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6BD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BF03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82">
    <xf numFmtId="0" fontId="0" fillId="0" borderId="0"/>
    <xf numFmtId="0" fontId="6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3" fillId="0" borderId="0" applyNumberForma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</cellStyleXfs>
  <cellXfs count="711">
    <xf numFmtId="0" fontId="0" fillId="0" borderId="0" xfId="0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12" fillId="0" borderId="0" xfId="1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7" fillId="4" borderId="0" xfId="0" applyFont="1" applyFill="1"/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/>
    <xf numFmtId="0" fontId="29" fillId="0" borderId="0" xfId="0" applyFont="1" applyAlignment="1">
      <alignment horizontal="center" vertical="center" wrapText="1"/>
    </xf>
    <xf numFmtId="0" fontId="31" fillId="0" borderId="0" xfId="1" applyFont="1" applyAlignment="1">
      <alignment horizontal="left" vertical="center"/>
    </xf>
    <xf numFmtId="2" fontId="16" fillId="0" borderId="7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37" fillId="4" borderId="7" xfId="44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37" fillId="9" borderId="7" xfId="0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8" borderId="19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40" applyFont="1" applyBorder="1" applyAlignment="1">
      <alignment horizontal="center" vertical="center"/>
    </xf>
    <xf numFmtId="0" fontId="18" fillId="0" borderId="11" xfId="6" applyFont="1" applyBorder="1" applyAlignment="1">
      <alignment horizontal="center" vertical="center"/>
    </xf>
    <xf numFmtId="0" fontId="18" fillId="0" borderId="11" xfId="36" applyFont="1" applyBorder="1" applyAlignment="1">
      <alignment horizontal="center" vertical="center"/>
    </xf>
    <xf numFmtId="0" fontId="18" fillId="4" borderId="11" xfId="0" applyFont="1" applyFill="1" applyBorder="1" applyAlignment="1">
      <alignment horizontal="left" vertical="center"/>
    </xf>
    <xf numFmtId="0" fontId="18" fillId="0" borderId="28" xfId="0" applyFont="1" applyBorder="1" applyAlignment="1">
      <alignment horizontal="center" vertical="center"/>
    </xf>
    <xf numFmtId="0" fontId="7" fillId="0" borderId="11" xfId="6" applyFont="1" applyBorder="1" applyAlignment="1">
      <alignment horizontal="center" vertical="center"/>
    </xf>
    <xf numFmtId="0" fontId="7" fillId="0" borderId="11" xfId="6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8" fillId="0" borderId="11" xfId="6" applyFont="1" applyBorder="1" applyAlignment="1">
      <alignment horizontal="left" vertical="center"/>
    </xf>
    <xf numFmtId="0" fontId="18" fillId="0" borderId="26" xfId="6" applyFont="1" applyBorder="1" applyAlignment="1">
      <alignment horizontal="center" vertical="center"/>
    </xf>
    <xf numFmtId="0" fontId="18" fillId="0" borderId="26" xfId="6" applyFont="1" applyBorder="1" applyAlignment="1">
      <alignment horizontal="left" vertical="center"/>
    </xf>
    <xf numFmtId="0" fontId="18" fillId="0" borderId="11" xfId="24" applyFont="1" applyBorder="1" applyAlignment="1">
      <alignment horizontal="center" vertical="center"/>
    </xf>
    <xf numFmtId="0" fontId="18" fillId="0" borderId="11" xfId="32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23" fillId="0" borderId="11" xfId="24" applyFont="1" applyBorder="1" applyAlignment="1">
      <alignment horizontal="left" vertical="center" wrapText="1"/>
    </xf>
    <xf numFmtId="0" fontId="7" fillId="0" borderId="11" xfId="15" applyFont="1" applyBorder="1" applyAlignment="1">
      <alignment horizontal="center" vertical="center"/>
    </xf>
    <xf numFmtId="0" fontId="18" fillId="0" borderId="11" xfId="37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8" fillId="0" borderId="35" xfId="24" applyFont="1" applyBorder="1" applyAlignment="1">
      <alignment horizontal="center" vertical="center"/>
    </xf>
    <xf numFmtId="0" fontId="23" fillId="0" borderId="35" xfId="24" applyFont="1" applyBorder="1" applyAlignment="1">
      <alignment horizontal="left" vertical="center"/>
    </xf>
    <xf numFmtId="0" fontId="7" fillId="0" borderId="35" xfId="6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 wrapText="1"/>
    </xf>
    <xf numFmtId="9" fontId="16" fillId="0" borderId="28" xfId="0" applyNumberFormat="1" applyFont="1" applyBorder="1" applyAlignment="1">
      <alignment horizontal="right" vertical="center" wrapText="1"/>
    </xf>
    <xf numFmtId="2" fontId="16" fillId="0" borderId="29" xfId="0" applyNumberFormat="1" applyFont="1" applyBorder="1" applyAlignment="1">
      <alignment horizontal="center" vertical="center" wrapText="1"/>
    </xf>
    <xf numFmtId="2" fontId="16" fillId="0" borderId="32" xfId="0" applyNumberFormat="1" applyFont="1" applyBorder="1" applyAlignment="1">
      <alignment horizontal="center" vertical="center" wrapText="1"/>
    </xf>
    <xf numFmtId="0" fontId="43" fillId="8" borderId="21" xfId="0" applyFont="1" applyFill="1" applyBorder="1" applyAlignment="1">
      <alignment horizontal="center" vertical="center" wrapText="1"/>
    </xf>
    <xf numFmtId="0" fontId="19" fillId="8" borderId="22" xfId="0" applyFont="1" applyFill="1" applyBorder="1" applyAlignment="1">
      <alignment horizontal="center" vertical="center" wrapText="1"/>
    </xf>
    <xf numFmtId="0" fontId="43" fillId="8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43" fillId="8" borderId="2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left" vertical="center"/>
    </xf>
    <xf numFmtId="0" fontId="33" fillId="10" borderId="37" xfId="0" applyFont="1" applyFill="1" applyBorder="1" applyAlignment="1">
      <alignment horizontal="center" vertical="center" wrapText="1"/>
    </xf>
    <xf numFmtId="0" fontId="33" fillId="10" borderId="38" xfId="0" applyFont="1" applyFill="1" applyBorder="1" applyAlignment="1">
      <alignment horizontal="center" vertical="center" wrapText="1"/>
    </xf>
    <xf numFmtId="41" fontId="7" fillId="0" borderId="26" xfId="2" applyNumberFormat="1" applyFont="1" applyFill="1" applyBorder="1" applyAlignment="1">
      <alignment horizontal="center" vertical="center"/>
    </xf>
    <xf numFmtId="41" fontId="7" fillId="0" borderId="11" xfId="2" applyNumberFormat="1" applyFont="1" applyFill="1" applyBorder="1" applyAlignment="1">
      <alignment horizontal="center" vertical="center"/>
    </xf>
    <xf numFmtId="41" fontId="7" fillId="0" borderId="11" xfId="2" applyNumberFormat="1" applyFont="1" applyBorder="1" applyAlignment="1">
      <alignment horizontal="center" vertical="center"/>
    </xf>
    <xf numFmtId="0" fontId="7" fillId="0" borderId="35" xfId="6" applyFont="1" applyBorder="1" applyAlignment="1">
      <alignment horizontal="left" vertical="center"/>
    </xf>
    <xf numFmtId="41" fontId="7" fillId="0" borderId="35" xfId="2" applyNumberFormat="1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3" xfId="6" applyFont="1" applyBorder="1" applyAlignment="1">
      <alignment horizontal="center" vertical="center"/>
    </xf>
    <xf numFmtId="0" fontId="7" fillId="0" borderId="43" xfId="6" applyFont="1" applyBorder="1" applyAlignment="1">
      <alignment horizontal="left" vertical="center"/>
    </xf>
    <xf numFmtId="41" fontId="7" fillId="0" borderId="43" xfId="2" applyNumberFormat="1" applyFont="1" applyFill="1" applyBorder="1" applyAlignment="1">
      <alignment horizontal="center" vertical="center"/>
    </xf>
    <xf numFmtId="0" fontId="36" fillId="0" borderId="30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2" fontId="24" fillId="0" borderId="25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3" fillId="4" borderId="43" xfId="0" applyFont="1" applyFill="1" applyBorder="1" applyAlignment="1">
      <alignment horizontal="left" vertical="center"/>
    </xf>
    <xf numFmtId="0" fontId="7" fillId="2" borderId="41" xfId="0" applyFont="1" applyFill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0" fontId="18" fillId="0" borderId="35" xfId="36" applyFont="1" applyBorder="1" applyAlignment="1">
      <alignment horizontal="center" vertical="center"/>
    </xf>
    <xf numFmtId="0" fontId="18" fillId="4" borderId="35" xfId="0" applyFont="1" applyFill="1" applyBorder="1" applyAlignment="1">
      <alignment horizontal="left" vertical="center"/>
    </xf>
    <xf numFmtId="0" fontId="18" fillId="0" borderId="35" xfId="0" applyFont="1" applyBorder="1" applyAlignment="1">
      <alignment horizontal="center" vertical="center"/>
    </xf>
    <xf numFmtId="0" fontId="38" fillId="2" borderId="40" xfId="0" applyFont="1" applyFill="1" applyBorder="1" applyAlignment="1">
      <alignment vertical="center"/>
    </xf>
    <xf numFmtId="41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164" fontId="18" fillId="7" borderId="43" xfId="41" applyNumberFormat="1" applyFont="1" applyFill="1" applyBorder="1" applyAlignment="1">
      <alignment horizontal="center" vertical="center"/>
    </xf>
    <xf numFmtId="164" fontId="7" fillId="0" borderId="44" xfId="2" applyNumberFormat="1" applyFont="1" applyBorder="1" applyAlignment="1">
      <alignment horizontal="center" vertical="center"/>
    </xf>
    <xf numFmtId="164" fontId="18" fillId="7" borderId="11" xfId="41" applyNumberFormat="1" applyFont="1" applyFill="1" applyBorder="1" applyAlignment="1">
      <alignment horizontal="center" vertical="center"/>
    </xf>
    <xf numFmtId="164" fontId="7" fillId="0" borderId="29" xfId="2" applyNumberFormat="1" applyFont="1" applyBorder="1" applyAlignment="1">
      <alignment horizontal="center" vertical="center"/>
    </xf>
    <xf numFmtId="164" fontId="18" fillId="7" borderId="11" xfId="42" applyNumberFormat="1" applyFont="1" applyFill="1" applyBorder="1" applyAlignment="1">
      <alignment horizontal="center" vertical="center"/>
    </xf>
    <xf numFmtId="164" fontId="18" fillId="7" borderId="35" xfId="42" applyNumberFormat="1" applyFont="1" applyFill="1" applyBorder="1" applyAlignment="1">
      <alignment horizontal="center" vertical="center"/>
    </xf>
    <xf numFmtId="164" fontId="7" fillId="0" borderId="36" xfId="2" applyNumberFormat="1" applyFont="1" applyBorder="1" applyAlignment="1">
      <alignment horizontal="center" vertical="center"/>
    </xf>
    <xf numFmtId="165" fontId="7" fillId="0" borderId="0" xfId="0" applyNumberFormat="1" applyFont="1"/>
    <xf numFmtId="164" fontId="18" fillId="0" borderId="11" xfId="15" applyNumberFormat="1" applyFont="1" applyBorder="1" applyAlignment="1">
      <alignment horizontal="center" vertical="center"/>
    </xf>
    <xf numFmtId="164" fontId="7" fillId="0" borderId="11" xfId="6" applyNumberFormat="1" applyFont="1" applyBorder="1" applyAlignment="1">
      <alignment horizontal="center" vertical="center"/>
    </xf>
    <xf numFmtId="164" fontId="7" fillId="0" borderId="35" xfId="6" applyNumberFormat="1" applyFont="1" applyBorder="1" applyAlignment="1">
      <alignment horizontal="center" vertical="center"/>
    </xf>
    <xf numFmtId="0" fontId="33" fillId="10" borderId="11" xfId="0" applyFont="1" applyFill="1" applyBorder="1" applyAlignment="1">
      <alignment horizontal="center" vertical="center" wrapText="1"/>
    </xf>
    <xf numFmtId="0" fontId="33" fillId="10" borderId="26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33" fillId="10" borderId="31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 wrapText="1"/>
    </xf>
    <xf numFmtId="0" fontId="35" fillId="8" borderId="30" xfId="0" applyFont="1" applyFill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10" borderId="31" xfId="0" applyFont="1" applyFill="1" applyBorder="1" applyAlignment="1">
      <alignment horizontal="center" vertical="center" wrapText="1"/>
    </xf>
    <xf numFmtId="0" fontId="35" fillId="9" borderId="32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horizontal="center" vertical="center" wrapText="1"/>
    </xf>
    <xf numFmtId="0" fontId="37" fillId="4" borderId="11" xfId="44" applyFont="1" applyFill="1" applyBorder="1" applyAlignment="1">
      <alignment horizontal="center" vertical="center"/>
    </xf>
    <xf numFmtId="0" fontId="37" fillId="9" borderId="11" xfId="0" applyFont="1" applyFill="1" applyBorder="1" applyAlignment="1">
      <alignment horizontal="center" vertical="center" wrapText="1"/>
    </xf>
    <xf numFmtId="0" fontId="37" fillId="9" borderId="29" xfId="0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37" fillId="4" borderId="29" xfId="44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18" fillId="0" borderId="35" xfId="6" applyFont="1" applyBorder="1" applyAlignment="1">
      <alignment horizontal="center" vertical="center"/>
    </xf>
    <xf numFmtId="0" fontId="18" fillId="0" borderId="35" xfId="6" applyFont="1" applyBorder="1" applyAlignment="1">
      <alignment horizontal="left" vertical="center"/>
    </xf>
    <xf numFmtId="41" fontId="7" fillId="0" borderId="35" xfId="2" applyNumberFormat="1" applyFont="1" applyBorder="1" applyAlignment="1">
      <alignment horizontal="center" vertical="center"/>
    </xf>
    <xf numFmtId="0" fontId="18" fillId="0" borderId="43" xfId="24" applyFont="1" applyBorder="1" applyAlignment="1">
      <alignment horizontal="center" vertical="center"/>
    </xf>
    <xf numFmtId="0" fontId="23" fillId="0" borderId="43" xfId="24" applyFont="1" applyBorder="1" applyAlignment="1">
      <alignment horizontal="left" vertical="center"/>
    </xf>
    <xf numFmtId="164" fontId="18" fillId="7" borderId="43" xfId="42" applyNumberFormat="1" applyFont="1" applyFill="1" applyBorder="1" applyAlignment="1">
      <alignment horizontal="center" vertical="center"/>
    </xf>
    <xf numFmtId="2" fontId="7" fillId="2" borderId="41" xfId="2" applyNumberFormat="1" applyFont="1" applyFill="1" applyBorder="1" applyAlignment="1">
      <alignment horizontal="center" vertical="center"/>
    </xf>
    <xf numFmtId="0" fontId="7" fillId="0" borderId="11" xfId="47" applyFont="1" applyBorder="1" applyAlignment="1">
      <alignment horizontal="center" vertical="center"/>
    </xf>
    <xf numFmtId="0" fontId="7" fillId="0" borderId="35" xfId="47" applyFont="1" applyBorder="1" applyAlignment="1">
      <alignment horizontal="center" vertical="center"/>
    </xf>
    <xf numFmtId="0" fontId="7" fillId="0" borderId="43" xfId="47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 wrapText="1"/>
    </xf>
    <xf numFmtId="0" fontId="27" fillId="2" borderId="40" xfId="0" applyFont="1" applyFill="1" applyBorder="1" applyAlignment="1">
      <alignment vertical="center"/>
    </xf>
    <xf numFmtId="41" fontId="23" fillId="4" borderId="43" xfId="0" applyNumberFormat="1" applyFont="1" applyFill="1" applyBorder="1" applyAlignment="1">
      <alignment horizontal="left" vertical="center"/>
    </xf>
    <xf numFmtId="0" fontId="7" fillId="0" borderId="43" xfId="61" applyFont="1" applyBorder="1" applyAlignment="1">
      <alignment horizontal="left" vertical="center"/>
    </xf>
    <xf numFmtId="0" fontId="7" fillId="0" borderId="11" xfId="61" applyFont="1" applyBorder="1" applyAlignment="1">
      <alignment horizontal="left" vertical="center"/>
    </xf>
    <xf numFmtId="0" fontId="7" fillId="0" borderId="35" xfId="61" applyFont="1" applyBorder="1" applyAlignment="1">
      <alignment horizontal="left" vertical="center"/>
    </xf>
    <xf numFmtId="0" fontId="18" fillId="0" borderId="26" xfId="61" applyFont="1" applyBorder="1" applyAlignment="1">
      <alignment horizontal="left" vertical="center"/>
    </xf>
    <xf numFmtId="0" fontId="18" fillId="0" borderId="11" xfId="61" applyFont="1" applyBorder="1" applyAlignment="1">
      <alignment horizontal="left" vertical="center"/>
    </xf>
    <xf numFmtId="0" fontId="18" fillId="0" borderId="35" xfId="61" applyFont="1" applyBorder="1" applyAlignment="1">
      <alignment horizontal="left" vertical="center"/>
    </xf>
    <xf numFmtId="41" fontId="7" fillId="0" borderId="0" xfId="0" applyNumberFormat="1" applyFont="1"/>
    <xf numFmtId="166" fontId="16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4" fontId="7" fillId="12" borderId="43" xfId="6" applyNumberFormat="1" applyFont="1" applyFill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2" fontId="7" fillId="0" borderId="0" xfId="0" applyNumberFormat="1" applyFont="1"/>
    <xf numFmtId="0" fontId="7" fillId="4" borderId="1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7" fillId="0" borderId="0" xfId="0" applyFont="1"/>
    <xf numFmtId="0" fontId="7" fillId="4" borderId="0" xfId="0" applyFont="1" applyFill="1" applyAlignment="1">
      <alignment horizontal="center" wrapText="1"/>
    </xf>
    <xf numFmtId="0" fontId="27" fillId="2" borderId="20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0" fillId="0" borderId="6" xfId="0" applyBorder="1" applyAlignment="1">
      <alignment vertical="center"/>
    </xf>
    <xf numFmtId="0" fontId="50" fillId="4" borderId="0" xfId="0" applyFont="1" applyFill="1" applyAlignment="1">
      <alignment horizontal="center" vertical="center" wrapText="1"/>
    </xf>
    <xf numFmtId="0" fontId="45" fillId="0" borderId="61" xfId="0" applyFont="1" applyBorder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45" fillId="0" borderId="62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7" fillId="0" borderId="55" xfId="0" applyFont="1" applyBorder="1" applyAlignment="1">
      <alignment vertical="center" wrapText="1"/>
    </xf>
    <xf numFmtId="1" fontId="45" fillId="0" borderId="5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5" fillId="4" borderId="55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8" fillId="0" borderId="64" xfId="0" applyFont="1" applyBorder="1" applyAlignment="1">
      <alignment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6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45" fillId="0" borderId="68" xfId="0" applyFont="1" applyBorder="1" applyAlignment="1">
      <alignment horizontal="center" vertical="center" wrapText="1"/>
    </xf>
    <xf numFmtId="0" fontId="45" fillId="0" borderId="7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2" fontId="45" fillId="0" borderId="60" xfId="0" applyNumberFormat="1" applyFont="1" applyBorder="1" applyAlignment="1">
      <alignment horizontal="center" vertical="center" wrapText="1"/>
    </xf>
    <xf numFmtId="2" fontId="45" fillId="0" borderId="63" xfId="0" applyNumberFormat="1" applyFont="1" applyBorder="1" applyAlignment="1">
      <alignment horizontal="center" vertical="center" wrapText="1"/>
    </xf>
    <xf numFmtId="2" fontId="45" fillId="4" borderId="6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45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9" fontId="16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2" fontId="45" fillId="0" borderId="69" xfId="0" applyNumberFormat="1" applyFont="1" applyBorder="1" applyAlignment="1">
      <alignment horizontal="center" vertical="center" wrapText="1"/>
    </xf>
    <xf numFmtId="2" fontId="45" fillId="0" borderId="59" xfId="0" applyNumberFormat="1" applyFont="1" applyBorder="1" applyAlignment="1">
      <alignment horizontal="center" vertical="center" wrapText="1"/>
    </xf>
    <xf numFmtId="2" fontId="7" fillId="0" borderId="24" xfId="2" applyNumberFormat="1" applyFont="1" applyBorder="1" applyAlignment="1">
      <alignment horizontal="center" vertical="center"/>
    </xf>
    <xf numFmtId="0" fontId="9" fillId="2" borderId="10" xfId="67" applyFont="1" applyFill="1" applyBorder="1" applyAlignment="1">
      <alignment vertical="center"/>
    </xf>
    <xf numFmtId="0" fontId="38" fillId="2" borderId="24" xfId="0" applyFont="1" applyFill="1" applyBorder="1" applyAlignment="1">
      <alignment vertical="center"/>
    </xf>
    <xf numFmtId="0" fontId="9" fillId="2" borderId="33" xfId="67" applyFont="1" applyFill="1" applyBorder="1" applyAlignment="1">
      <alignment vertical="center"/>
    </xf>
    <xf numFmtId="0" fontId="38" fillId="2" borderId="60" xfId="0" applyFont="1" applyFill="1" applyBorder="1" applyAlignment="1">
      <alignment vertical="center"/>
    </xf>
    <xf numFmtId="0" fontId="38" fillId="2" borderId="9" xfId="0" applyFont="1" applyFill="1" applyBorder="1" applyAlignment="1">
      <alignment vertical="center"/>
    </xf>
    <xf numFmtId="0" fontId="9" fillId="2" borderId="33" xfId="0" applyFont="1" applyFill="1" applyBorder="1" applyAlignment="1">
      <alignment vertical="center"/>
    </xf>
    <xf numFmtId="0" fontId="49" fillId="2" borderId="60" xfId="0" applyFont="1" applyFill="1" applyBorder="1" applyAlignment="1">
      <alignment horizontal="left" vertical="center"/>
    </xf>
    <xf numFmtId="0" fontId="9" fillId="2" borderId="33" xfId="69" applyFont="1" applyFill="1" applyBorder="1" applyAlignment="1">
      <alignment vertical="center"/>
    </xf>
    <xf numFmtId="0" fontId="7" fillId="2" borderId="60" xfId="0" applyFont="1" applyFill="1" applyBorder="1" applyAlignment="1">
      <alignment vertical="center"/>
    </xf>
    <xf numFmtId="0" fontId="9" fillId="2" borderId="33" xfId="0" applyFont="1" applyFill="1" applyBorder="1" applyAlignment="1">
      <alignment horizontal="left" vertical="center"/>
    </xf>
    <xf numFmtId="0" fontId="7" fillId="2" borderId="60" xfId="0" applyFont="1" applyFill="1" applyBorder="1"/>
    <xf numFmtId="0" fontId="7" fillId="0" borderId="19" xfId="0" applyFont="1" applyBorder="1" applyAlignment="1">
      <alignment horizontal="center" vertical="center"/>
    </xf>
    <xf numFmtId="0" fontId="7" fillId="0" borderId="19" xfId="67" applyFont="1" applyBorder="1" applyAlignment="1">
      <alignment horizontal="left" vertical="center"/>
    </xf>
    <xf numFmtId="0" fontId="7" fillId="0" borderId="19" xfId="67" applyFont="1" applyBorder="1" applyAlignment="1">
      <alignment horizontal="center" vertical="center"/>
    </xf>
    <xf numFmtId="0" fontId="18" fillId="0" borderId="19" xfId="67" applyFont="1" applyBorder="1" applyAlignment="1">
      <alignment horizontal="center" vertical="center"/>
    </xf>
    <xf numFmtId="0" fontId="18" fillId="0" borderId="19" xfId="67" applyFont="1" applyBorder="1" applyAlignment="1">
      <alignment horizontal="left" vertical="center"/>
    </xf>
    <xf numFmtId="0" fontId="18" fillId="0" borderId="19" xfId="9" applyFont="1" applyBorder="1" applyAlignment="1">
      <alignment horizontal="center" vertical="center"/>
    </xf>
    <xf numFmtId="0" fontId="7" fillId="0" borderId="19" xfId="68" applyFont="1" applyBorder="1" applyAlignment="1">
      <alignment vertical="center"/>
    </xf>
    <xf numFmtId="0" fontId="7" fillId="0" borderId="19" xfId="68" applyFont="1" applyBorder="1" applyAlignment="1">
      <alignment horizontal="center" vertical="center"/>
    </xf>
    <xf numFmtId="0" fontId="18" fillId="0" borderId="19" xfId="70" applyFont="1" applyBorder="1" applyAlignment="1">
      <alignment horizontal="center" vertical="center"/>
    </xf>
    <xf numFmtId="0" fontId="7" fillId="0" borderId="19" xfId="70" applyFont="1" applyBorder="1" applyAlignment="1">
      <alignment horizontal="left" vertical="center"/>
    </xf>
    <xf numFmtId="0" fontId="7" fillId="0" borderId="19" xfId="70" applyFont="1" applyBorder="1" applyAlignment="1">
      <alignment horizontal="center" vertical="center"/>
    </xf>
    <xf numFmtId="0" fontId="18" fillId="0" borderId="19" xfId="71" applyFont="1" applyBorder="1" applyAlignment="1">
      <alignment horizontal="center" vertical="center"/>
    </xf>
    <xf numFmtId="0" fontId="7" fillId="0" borderId="19" xfId="71" applyFont="1" applyBorder="1" applyAlignment="1">
      <alignment vertical="center"/>
    </xf>
    <xf numFmtId="0" fontId="7" fillId="0" borderId="19" xfId="71" applyFont="1" applyBorder="1" applyAlignment="1">
      <alignment horizontal="center" vertical="center"/>
    </xf>
    <xf numFmtId="0" fontId="18" fillId="0" borderId="19" xfId="27" applyFont="1" applyBorder="1" applyAlignment="1">
      <alignment horizontal="center" vertical="center"/>
    </xf>
    <xf numFmtId="0" fontId="18" fillId="0" borderId="19" xfId="72" applyFont="1" applyBorder="1" applyAlignment="1">
      <alignment horizontal="left" vertical="center"/>
    </xf>
    <xf numFmtId="0" fontId="18" fillId="0" borderId="19" xfId="72" applyFont="1" applyBorder="1" applyAlignment="1">
      <alignment horizontal="center"/>
    </xf>
    <xf numFmtId="0" fontId="18" fillId="0" borderId="19" xfId="31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6" xfId="67" applyFont="1" applyBorder="1" applyAlignment="1">
      <alignment horizontal="left" vertical="center"/>
    </xf>
    <xf numFmtId="0" fontId="7" fillId="0" borderId="56" xfId="67" applyFont="1" applyBorder="1" applyAlignment="1">
      <alignment horizontal="center" vertical="center"/>
    </xf>
    <xf numFmtId="2" fontId="7" fillId="0" borderId="57" xfId="2" applyNumberFormat="1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2" fontId="7" fillId="0" borderId="69" xfId="2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8" xfId="67" applyFont="1" applyBorder="1" applyAlignment="1">
      <alignment horizontal="left" vertical="center"/>
    </xf>
    <xf numFmtId="0" fontId="7" fillId="0" borderId="58" xfId="67" applyFont="1" applyBorder="1" applyAlignment="1">
      <alignment horizontal="center" vertical="center"/>
    </xf>
    <xf numFmtId="2" fontId="7" fillId="0" borderId="59" xfId="2" applyNumberFormat="1" applyFont="1" applyBorder="1" applyAlignment="1">
      <alignment horizontal="center" vertical="center"/>
    </xf>
    <xf numFmtId="0" fontId="18" fillId="0" borderId="56" xfId="67" applyFont="1" applyBorder="1" applyAlignment="1">
      <alignment horizontal="center" vertical="center"/>
    </xf>
    <xf numFmtId="0" fontId="18" fillId="0" borderId="56" xfId="67" applyFont="1" applyBorder="1" applyAlignment="1">
      <alignment horizontal="left" vertical="center"/>
    </xf>
    <xf numFmtId="0" fontId="18" fillId="0" borderId="58" xfId="67" applyFont="1" applyBorder="1" applyAlignment="1">
      <alignment horizontal="center" vertical="center"/>
    </xf>
    <xf numFmtId="0" fontId="18" fillId="0" borderId="58" xfId="67" applyFont="1" applyBorder="1" applyAlignment="1">
      <alignment horizontal="left" vertical="center"/>
    </xf>
    <xf numFmtId="0" fontId="7" fillId="0" borderId="66" xfId="0" applyFont="1" applyBorder="1" applyAlignment="1">
      <alignment horizontal="center" vertical="center"/>
    </xf>
    <xf numFmtId="0" fontId="18" fillId="0" borderId="72" xfId="9" applyFont="1" applyBorder="1" applyAlignment="1">
      <alignment horizontal="center" vertical="center"/>
    </xf>
    <xf numFmtId="0" fontId="7" fillId="0" borderId="72" xfId="68" applyFont="1" applyBorder="1" applyAlignment="1">
      <alignment vertical="center"/>
    </xf>
    <xf numFmtId="0" fontId="7" fillId="0" borderId="72" xfId="68" applyFont="1" applyBorder="1" applyAlignment="1">
      <alignment horizontal="center" vertical="center"/>
    </xf>
    <xf numFmtId="2" fontId="7" fillId="0" borderId="4" xfId="2" applyNumberFormat="1" applyFont="1" applyBorder="1" applyAlignment="1">
      <alignment horizontal="center" vertical="center"/>
    </xf>
    <xf numFmtId="0" fontId="18" fillId="0" borderId="56" xfId="9" applyFont="1" applyBorder="1" applyAlignment="1">
      <alignment horizontal="center" vertical="center"/>
    </xf>
    <xf numFmtId="0" fontId="7" fillId="0" borderId="56" xfId="68" applyFont="1" applyBorder="1" applyAlignment="1">
      <alignment vertical="center"/>
    </xf>
    <xf numFmtId="0" fontId="7" fillId="0" borderId="56" xfId="68" applyFont="1" applyBorder="1" applyAlignment="1">
      <alignment horizontal="center" vertical="center"/>
    </xf>
    <xf numFmtId="0" fontId="18" fillId="0" borderId="56" xfId="70" applyFont="1" applyBorder="1" applyAlignment="1">
      <alignment horizontal="center" vertical="center"/>
    </xf>
    <xf numFmtId="0" fontId="7" fillId="0" borderId="56" xfId="70" applyFont="1" applyBorder="1" applyAlignment="1">
      <alignment horizontal="left" vertical="center"/>
    </xf>
    <xf numFmtId="0" fontId="7" fillId="0" borderId="56" xfId="70" applyFont="1" applyBorder="1" applyAlignment="1">
      <alignment horizontal="center" vertical="center"/>
    </xf>
    <xf numFmtId="0" fontId="18" fillId="0" borderId="58" xfId="70" applyFont="1" applyBorder="1" applyAlignment="1">
      <alignment horizontal="center" vertical="center"/>
    </xf>
    <xf numFmtId="0" fontId="7" fillId="0" borderId="58" xfId="70" applyFont="1" applyBorder="1" applyAlignment="1">
      <alignment horizontal="left" vertical="center"/>
    </xf>
    <xf numFmtId="0" fontId="7" fillId="0" borderId="58" xfId="70" applyFont="1" applyBorder="1" applyAlignment="1">
      <alignment horizontal="center" vertical="center"/>
    </xf>
    <xf numFmtId="0" fontId="18" fillId="0" borderId="56" xfId="71" applyFont="1" applyBorder="1" applyAlignment="1">
      <alignment horizontal="center" vertical="center"/>
    </xf>
    <xf numFmtId="0" fontId="7" fillId="0" borderId="56" xfId="71" applyFont="1" applyBorder="1" applyAlignment="1">
      <alignment vertical="center"/>
    </xf>
    <xf numFmtId="0" fontId="7" fillId="0" borderId="56" xfId="71" applyFont="1" applyBorder="1" applyAlignment="1">
      <alignment horizontal="center" vertical="center"/>
    </xf>
    <xf numFmtId="0" fontId="18" fillId="0" borderId="58" xfId="71" applyFont="1" applyBorder="1" applyAlignment="1">
      <alignment horizontal="center" vertical="center"/>
    </xf>
    <xf numFmtId="0" fontId="7" fillId="0" borderId="58" xfId="71" applyFont="1" applyBorder="1" applyAlignment="1">
      <alignment vertical="center"/>
    </xf>
    <xf numFmtId="0" fontId="7" fillId="0" borderId="58" xfId="71" applyFont="1" applyBorder="1" applyAlignment="1">
      <alignment horizontal="center" vertical="center"/>
    </xf>
    <xf numFmtId="0" fontId="0" fillId="0" borderId="71" xfId="0" applyBorder="1"/>
    <xf numFmtId="0" fontId="18" fillId="0" borderId="56" xfId="27" applyFont="1" applyBorder="1" applyAlignment="1">
      <alignment horizontal="center" vertical="center"/>
    </xf>
    <xf numFmtId="0" fontId="18" fillId="0" borderId="56" xfId="72" applyFont="1" applyBorder="1" applyAlignment="1">
      <alignment horizontal="left" vertical="center"/>
    </xf>
    <xf numFmtId="0" fontId="18" fillId="0" borderId="56" xfId="72" applyFont="1" applyBorder="1" applyAlignment="1">
      <alignment horizontal="center"/>
    </xf>
    <xf numFmtId="0" fontId="0" fillId="0" borderId="68" xfId="0" applyBorder="1"/>
    <xf numFmtId="0" fontId="0" fillId="0" borderId="70" xfId="0" applyBorder="1"/>
    <xf numFmtId="0" fontId="18" fillId="0" borderId="58" xfId="27" applyFont="1" applyBorder="1" applyAlignment="1">
      <alignment horizontal="center" vertical="center"/>
    </xf>
    <xf numFmtId="0" fontId="18" fillId="0" borderId="58" xfId="72" applyFont="1" applyBorder="1" applyAlignment="1">
      <alignment horizontal="left" vertical="center"/>
    </xf>
    <xf numFmtId="0" fontId="18" fillId="0" borderId="58" xfId="72" applyFont="1" applyBorder="1" applyAlignment="1">
      <alignment horizontal="center"/>
    </xf>
    <xf numFmtId="0" fontId="7" fillId="0" borderId="72" xfId="67" applyFont="1" applyBorder="1" applyAlignment="1">
      <alignment horizontal="center" vertical="center"/>
    </xf>
    <xf numFmtId="0" fontId="7" fillId="0" borderId="72" xfId="67" applyFont="1" applyBorder="1" applyAlignment="1">
      <alignment horizontal="left" vertical="center" wrapText="1"/>
    </xf>
    <xf numFmtId="0" fontId="18" fillId="0" borderId="56" xfId="31" applyFont="1" applyBorder="1" applyAlignment="1">
      <alignment horizontal="center" vertical="center"/>
    </xf>
    <xf numFmtId="0" fontId="18" fillId="0" borderId="56" xfId="0" applyFont="1" applyBorder="1" applyAlignment="1">
      <alignment horizontal="left" vertical="center" wrapText="1"/>
    </xf>
    <xf numFmtId="0" fontId="18" fillId="0" borderId="58" xfId="31" applyFont="1" applyBorder="1" applyAlignment="1">
      <alignment horizontal="center" vertical="center"/>
    </xf>
    <xf numFmtId="0" fontId="18" fillId="0" borderId="58" xfId="0" applyFont="1" applyBorder="1" applyAlignment="1">
      <alignment horizontal="left" vertical="center"/>
    </xf>
    <xf numFmtId="0" fontId="9" fillId="2" borderId="33" xfId="6" applyFont="1" applyFill="1" applyBorder="1" applyAlignment="1">
      <alignment vertical="center"/>
    </xf>
    <xf numFmtId="0" fontId="0" fillId="2" borderId="60" xfId="0" applyFill="1" applyBorder="1" applyAlignment="1">
      <alignment vertical="center"/>
    </xf>
    <xf numFmtId="0" fontId="23" fillId="2" borderId="33" xfId="0" applyFont="1" applyFill="1" applyBorder="1" applyAlignment="1">
      <alignment horizontal="left" vertical="center"/>
    </xf>
    <xf numFmtId="0" fontId="7" fillId="2" borderId="6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5" fillId="2" borderId="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18" fillId="0" borderId="19" xfId="14" applyFont="1" applyBorder="1" applyAlignment="1">
      <alignment horizontal="center" vertical="center"/>
    </xf>
    <xf numFmtId="0" fontId="7" fillId="0" borderId="19" xfId="73" applyFont="1" applyBorder="1" applyAlignment="1">
      <alignment vertical="center" wrapText="1"/>
    </xf>
    <xf numFmtId="0" fontId="7" fillId="0" borderId="19" xfId="73" applyFont="1" applyBorder="1" applyAlignment="1">
      <alignment horizontal="center" vertical="center"/>
    </xf>
    <xf numFmtId="0" fontId="7" fillId="0" borderId="19" xfId="74" applyFont="1" applyBorder="1" applyAlignment="1">
      <alignment vertical="center" wrapText="1"/>
    </xf>
    <xf numFmtId="0" fontId="7" fillId="0" borderId="19" xfId="74" applyFont="1" applyBorder="1" applyAlignment="1">
      <alignment horizontal="center" vertical="center"/>
    </xf>
    <xf numFmtId="0" fontId="18" fillId="0" borderId="19" xfId="75" applyFont="1" applyBorder="1" applyAlignment="1">
      <alignment horizontal="center" vertical="center"/>
    </xf>
    <xf numFmtId="0" fontId="18" fillId="0" borderId="19" xfId="75" applyFont="1" applyBorder="1" applyAlignment="1">
      <alignment horizontal="left" vertical="center" wrapText="1"/>
    </xf>
    <xf numFmtId="0" fontId="7" fillId="0" borderId="19" xfId="76" applyFont="1" applyBorder="1" applyAlignment="1">
      <alignment horizontal="center" vertical="center"/>
    </xf>
    <xf numFmtId="0" fontId="18" fillId="0" borderId="19" xfId="20" applyFont="1" applyBorder="1" applyAlignment="1">
      <alignment horizontal="center" vertical="center"/>
    </xf>
    <xf numFmtId="0" fontId="18" fillId="0" borderId="19" xfId="77" applyFont="1" applyBorder="1" applyAlignment="1">
      <alignment horizontal="left" vertical="center"/>
    </xf>
    <xf numFmtId="0" fontId="7" fillId="0" borderId="19" xfId="77" applyFont="1" applyBorder="1" applyAlignment="1">
      <alignment vertical="center"/>
    </xf>
    <xf numFmtId="0" fontId="7" fillId="0" borderId="19" xfId="77" applyFont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8" fillId="0" borderId="19" xfId="78" applyFont="1" applyBorder="1" applyAlignment="1">
      <alignment horizontal="center" vertical="center"/>
    </xf>
    <xf numFmtId="0" fontId="18" fillId="0" borderId="19" xfId="78" applyFont="1" applyBorder="1" applyAlignment="1">
      <alignment horizontal="left" vertical="center"/>
    </xf>
    <xf numFmtId="0" fontId="7" fillId="0" borderId="19" xfId="6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18" fillId="4" borderId="19" xfId="0" applyFont="1" applyFill="1" applyBorder="1" applyAlignment="1">
      <alignment horizontal="left" vertical="center"/>
    </xf>
    <xf numFmtId="41" fontId="7" fillId="0" borderId="19" xfId="2" applyNumberFormat="1" applyFont="1" applyFill="1" applyBorder="1" applyAlignment="1">
      <alignment horizontal="center" vertical="center"/>
    </xf>
    <xf numFmtId="164" fontId="18" fillId="7" borderId="19" xfId="41" applyNumberFormat="1" applyFont="1" applyFill="1" applyBorder="1" applyAlignment="1">
      <alignment horizontal="center" vertical="center"/>
    </xf>
    <xf numFmtId="0" fontId="18" fillId="0" borderId="19" xfId="40" applyFont="1" applyBorder="1" applyAlignment="1">
      <alignment horizontal="center" vertical="center"/>
    </xf>
    <xf numFmtId="0" fontId="18" fillId="0" borderId="19" xfId="36" applyFont="1" applyBorder="1" applyAlignment="1">
      <alignment horizontal="center" vertical="center"/>
    </xf>
    <xf numFmtId="164" fontId="18" fillId="7" borderId="19" xfId="42" applyNumberFormat="1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left" vertical="center" wrapText="1"/>
    </xf>
    <xf numFmtId="0" fontId="18" fillId="0" borderId="19" xfId="65" applyFont="1" applyBorder="1" applyAlignment="1">
      <alignment horizontal="center" vertical="center" wrapText="1"/>
    </xf>
    <xf numFmtId="0" fontId="18" fillId="0" borderId="19" xfId="65" applyFont="1" applyBorder="1" applyAlignment="1">
      <alignment horizontal="left" vertical="center" wrapText="1"/>
    </xf>
    <xf numFmtId="0" fontId="7" fillId="0" borderId="19" xfId="66" applyFont="1" applyBorder="1" applyAlignment="1">
      <alignment horizontal="center" vertical="center"/>
    </xf>
    <xf numFmtId="0" fontId="18" fillId="0" borderId="19" xfId="37" applyFont="1" applyBorder="1" applyAlignment="1">
      <alignment horizontal="center" vertical="center"/>
    </xf>
    <xf numFmtId="0" fontId="7" fillId="0" borderId="68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18" fillId="0" borderId="58" xfId="78" applyFont="1" applyBorder="1" applyAlignment="1">
      <alignment horizontal="center" vertical="center"/>
    </xf>
    <xf numFmtId="0" fontId="18" fillId="0" borderId="58" xfId="78" applyFont="1" applyBorder="1" applyAlignment="1">
      <alignment horizontal="left" vertical="center"/>
    </xf>
    <xf numFmtId="0" fontId="18" fillId="0" borderId="56" xfId="0" applyFont="1" applyBorder="1" applyAlignment="1">
      <alignment horizontal="center" vertical="center"/>
    </xf>
    <xf numFmtId="0" fontId="18" fillId="0" borderId="56" xfId="0" applyFont="1" applyBorder="1" applyAlignment="1">
      <alignment horizontal="left" vertical="center"/>
    </xf>
    <xf numFmtId="0" fontId="7" fillId="0" borderId="56" xfId="6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7" fillId="0" borderId="58" xfId="6" applyFont="1" applyBorder="1" applyAlignment="1">
      <alignment horizontal="center" vertical="center"/>
    </xf>
    <xf numFmtId="49" fontId="7" fillId="0" borderId="56" xfId="0" applyNumberFormat="1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4" borderId="56" xfId="0" applyFont="1" applyFill="1" applyBorder="1" applyAlignment="1">
      <alignment horizontal="left" vertical="center"/>
    </xf>
    <xf numFmtId="41" fontId="7" fillId="0" borderId="56" xfId="2" applyNumberFormat="1" applyFont="1" applyFill="1" applyBorder="1" applyAlignment="1">
      <alignment horizontal="center" vertical="center"/>
    </xf>
    <xf numFmtId="164" fontId="18" fillId="7" borderId="56" xfId="41" applyNumberFormat="1" applyFont="1" applyFill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58" xfId="36" applyFont="1" applyBorder="1" applyAlignment="1">
      <alignment horizontal="center" vertical="center"/>
    </xf>
    <xf numFmtId="0" fontId="18" fillId="4" borderId="58" xfId="0" applyFont="1" applyFill="1" applyBorder="1" applyAlignment="1">
      <alignment horizontal="left" vertical="center"/>
    </xf>
    <xf numFmtId="41" fontId="7" fillId="0" borderId="58" xfId="2" applyNumberFormat="1" applyFont="1" applyFill="1" applyBorder="1" applyAlignment="1">
      <alignment horizontal="center" vertical="center"/>
    </xf>
    <xf numFmtId="164" fontId="18" fillId="7" borderId="58" xfId="42" applyNumberFormat="1" applyFont="1" applyFill="1" applyBorder="1" applyAlignment="1">
      <alignment horizontal="center" vertical="center"/>
    </xf>
    <xf numFmtId="0" fontId="18" fillId="0" borderId="56" xfId="64" applyFont="1" applyBorder="1" applyAlignment="1">
      <alignment horizontal="center" vertical="center"/>
    </xf>
    <xf numFmtId="0" fontId="18" fillId="0" borderId="56" xfId="64" applyFont="1" applyBorder="1" applyAlignment="1">
      <alignment horizontal="left" vertical="center"/>
    </xf>
    <xf numFmtId="0" fontId="7" fillId="0" borderId="56" xfId="62" applyFont="1" applyBorder="1" applyAlignment="1">
      <alignment horizontal="center" vertical="center"/>
    </xf>
    <xf numFmtId="0" fontId="7" fillId="4" borderId="68" xfId="0" applyFont="1" applyFill="1" applyBorder="1" applyAlignment="1">
      <alignment horizontal="center" vertical="center"/>
    </xf>
    <xf numFmtId="2" fontId="7" fillId="4" borderId="69" xfId="2" applyNumberFormat="1" applyFont="1" applyFill="1" applyBorder="1" applyAlignment="1">
      <alignment horizontal="center" vertical="center"/>
    </xf>
    <xf numFmtId="0" fontId="18" fillId="0" borderId="56" xfId="37" applyFont="1" applyBorder="1" applyAlignment="1">
      <alignment horizontal="center" vertical="center"/>
    </xf>
    <xf numFmtId="0" fontId="18" fillId="0" borderId="58" xfId="37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164" fontId="18" fillId="7" borderId="56" xfId="42" applyNumberFormat="1" applyFont="1" applyFill="1" applyBorder="1" applyAlignment="1">
      <alignment horizontal="center" vertical="center"/>
    </xf>
    <xf numFmtId="164" fontId="18" fillId="7" borderId="56" xfId="7" applyNumberFormat="1" applyFont="1" applyFill="1" applyBorder="1" applyAlignment="1">
      <alignment horizontal="center" vertical="center"/>
    </xf>
    <xf numFmtId="164" fontId="18" fillId="7" borderId="19" xfId="7" applyNumberFormat="1" applyFont="1" applyFill="1" applyBorder="1" applyAlignment="1">
      <alignment horizontal="center" vertical="center"/>
    </xf>
    <xf numFmtId="164" fontId="18" fillId="7" borderId="58" xfId="7" applyNumberFormat="1" applyFont="1" applyFill="1" applyBorder="1" applyAlignment="1">
      <alignment horizontal="center" vertical="center"/>
    </xf>
    <xf numFmtId="164" fontId="18" fillId="7" borderId="57" xfId="7" applyNumberFormat="1" applyFont="1" applyFill="1" applyBorder="1" applyAlignment="1">
      <alignment horizontal="center" vertical="center"/>
    </xf>
    <xf numFmtId="164" fontId="18" fillId="7" borderId="69" xfId="7" applyNumberFormat="1" applyFont="1" applyFill="1" applyBorder="1" applyAlignment="1">
      <alignment horizontal="center" vertical="center"/>
    </xf>
    <xf numFmtId="164" fontId="18" fillId="7" borderId="59" xfId="7" applyNumberFormat="1" applyFont="1" applyFill="1" applyBorder="1" applyAlignment="1">
      <alignment horizontal="center" vertical="center"/>
    </xf>
    <xf numFmtId="164" fontId="18" fillId="7" borderId="72" xfId="11" applyNumberFormat="1" applyFont="1" applyFill="1" applyBorder="1" applyAlignment="1">
      <alignment horizontal="center" vertical="center"/>
    </xf>
    <xf numFmtId="164" fontId="18" fillId="7" borderId="56" xfId="11" applyNumberFormat="1" applyFont="1" applyFill="1" applyBorder="1" applyAlignment="1">
      <alignment horizontal="center" vertical="center"/>
    </xf>
    <xf numFmtId="164" fontId="18" fillId="7" borderId="19" xfId="12" applyNumberFormat="1" applyFont="1" applyFill="1" applyBorder="1" applyAlignment="1">
      <alignment horizontal="center" vertical="center"/>
    </xf>
    <xf numFmtId="164" fontId="18" fillId="7" borderId="56" xfId="4" applyNumberFormat="1" applyFont="1" applyFill="1" applyBorder="1" applyAlignment="1">
      <alignment horizontal="center" vertical="center"/>
    </xf>
    <xf numFmtId="164" fontId="18" fillId="7" borderId="19" xfId="4" applyNumberFormat="1" applyFont="1" applyFill="1" applyBorder="1" applyAlignment="1">
      <alignment horizontal="center" vertical="center"/>
    </xf>
    <xf numFmtId="164" fontId="18" fillId="7" borderId="58" xfId="4" applyNumberFormat="1" applyFont="1" applyFill="1" applyBorder="1" applyAlignment="1">
      <alignment horizontal="center" vertical="center"/>
    </xf>
    <xf numFmtId="164" fontId="18" fillId="7" borderId="56" xfId="28" applyNumberFormat="1" applyFont="1" applyFill="1" applyBorder="1" applyAlignment="1">
      <alignment horizontal="center"/>
    </xf>
    <xf numFmtId="164" fontId="18" fillId="7" borderId="19" xfId="28" applyNumberFormat="1" applyFont="1" applyFill="1" applyBorder="1" applyAlignment="1">
      <alignment horizontal="center"/>
    </xf>
    <xf numFmtId="164" fontId="18" fillId="7" borderId="19" xfId="29" applyNumberFormat="1" applyFont="1" applyFill="1" applyBorder="1" applyAlignment="1">
      <alignment horizontal="center"/>
    </xf>
    <xf numFmtId="164" fontId="18" fillId="7" borderId="58" xfId="29" applyNumberFormat="1" applyFont="1" applyFill="1" applyBorder="1" applyAlignment="1">
      <alignment horizontal="center"/>
    </xf>
    <xf numFmtId="164" fontId="18" fillId="7" borderId="72" xfId="7" applyNumberFormat="1" applyFont="1" applyFill="1" applyBorder="1" applyAlignment="1">
      <alignment horizontal="center" vertical="center"/>
    </xf>
    <xf numFmtId="164" fontId="18" fillId="13" borderId="56" xfId="7" applyNumberFormat="1" applyFont="1" applyFill="1" applyBorder="1" applyAlignment="1">
      <alignment horizontal="center" vertical="center"/>
    </xf>
    <xf numFmtId="164" fontId="18" fillId="13" borderId="19" xfId="7" applyNumberFormat="1" applyFont="1" applyFill="1" applyBorder="1" applyAlignment="1">
      <alignment horizontal="center" vertical="center"/>
    </xf>
    <xf numFmtId="164" fontId="18" fillId="13" borderId="58" xfId="7" applyNumberFormat="1" applyFont="1" applyFill="1" applyBorder="1" applyAlignment="1">
      <alignment horizontal="center" vertical="center"/>
    </xf>
    <xf numFmtId="164" fontId="18" fillId="7" borderId="19" xfId="31" applyNumberFormat="1" applyFont="1" applyFill="1" applyBorder="1" applyAlignment="1">
      <alignment horizontal="center" vertical="center"/>
    </xf>
    <xf numFmtId="164" fontId="18" fillId="7" borderId="19" xfId="16" applyNumberFormat="1" applyFont="1" applyFill="1" applyBorder="1" applyAlignment="1">
      <alignment horizontal="center" vertical="center"/>
    </xf>
    <xf numFmtId="164" fontId="18" fillId="7" borderId="19" xfId="21" applyNumberFormat="1" applyFont="1" applyFill="1" applyBorder="1" applyAlignment="1">
      <alignment horizontal="center" vertical="center"/>
    </xf>
    <xf numFmtId="164" fontId="45" fillId="7" borderId="19" xfId="0" applyNumberFormat="1" applyFont="1" applyFill="1" applyBorder="1" applyAlignment="1">
      <alignment horizontal="center" vertical="center" wrapText="1"/>
    </xf>
    <xf numFmtId="164" fontId="18" fillId="7" borderId="58" xfId="16" applyNumberFormat="1" applyFont="1" applyFill="1" applyBorder="1" applyAlignment="1">
      <alignment horizontal="center" vertical="center"/>
    </xf>
    <xf numFmtId="164" fontId="18" fillId="7" borderId="56" xfId="0" applyNumberFormat="1" applyFont="1" applyFill="1" applyBorder="1" applyAlignment="1">
      <alignment horizontal="center" vertical="center"/>
    </xf>
    <xf numFmtId="164" fontId="18" fillId="7" borderId="19" xfId="0" applyNumberFormat="1" applyFont="1" applyFill="1" applyBorder="1" applyAlignment="1">
      <alignment horizontal="center" vertical="center"/>
    </xf>
    <xf numFmtId="164" fontId="18" fillId="7" borderId="58" xfId="0" applyNumberFormat="1" applyFont="1" applyFill="1" applyBorder="1" applyAlignment="1">
      <alignment horizontal="center" vertical="center"/>
    </xf>
    <xf numFmtId="164" fontId="18" fillId="7" borderId="56" xfId="29" applyNumberFormat="1" applyFont="1" applyFill="1" applyBorder="1" applyAlignment="1">
      <alignment horizontal="center" vertical="center"/>
    </xf>
    <xf numFmtId="164" fontId="18" fillId="7" borderId="19" xfId="29" applyNumberFormat="1" applyFont="1" applyFill="1" applyBorder="1" applyAlignment="1">
      <alignment horizontal="center" vertical="center"/>
    </xf>
    <xf numFmtId="164" fontId="18" fillId="7" borderId="58" xfId="29" applyNumberFormat="1" applyFont="1" applyFill="1" applyBorder="1" applyAlignment="1">
      <alignment horizontal="center" vertical="center"/>
    </xf>
    <xf numFmtId="164" fontId="18" fillId="7" borderId="56" xfId="38" applyNumberFormat="1" applyFont="1" applyFill="1" applyBorder="1" applyAlignment="1">
      <alignment horizontal="center" vertical="center"/>
    </xf>
    <xf numFmtId="164" fontId="18" fillId="7" borderId="19" xfId="38" applyNumberFormat="1" applyFont="1" applyFill="1" applyBorder="1" applyAlignment="1">
      <alignment horizontal="center" vertical="center"/>
    </xf>
    <xf numFmtId="164" fontId="18" fillId="7" borderId="58" xfId="39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vertical="center"/>
    </xf>
    <xf numFmtId="164" fontId="45" fillId="7" borderId="54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left" vertical="center"/>
    </xf>
    <xf numFmtId="164" fontId="45" fillId="7" borderId="55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vertical="center"/>
    </xf>
    <xf numFmtId="164" fontId="7" fillId="7" borderId="55" xfId="0" applyNumberFormat="1" applyFont="1" applyFill="1" applyBorder="1" applyAlignment="1">
      <alignment horizontal="center" vertical="center" wrapText="1"/>
    </xf>
    <xf numFmtId="164" fontId="45" fillId="5" borderId="55" xfId="0" applyNumberFormat="1" applyFont="1" applyFill="1" applyBorder="1" applyAlignment="1">
      <alignment horizontal="center" vertical="center" wrapText="1"/>
    </xf>
    <xf numFmtId="164" fontId="18" fillId="7" borderId="19" xfId="44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vertical="center"/>
    </xf>
    <xf numFmtId="164" fontId="7" fillId="7" borderId="19" xfId="0" applyNumberFormat="1" applyFont="1" applyFill="1" applyBorder="1" applyAlignment="1">
      <alignment horizontal="center" vertical="center" wrapText="1"/>
    </xf>
    <xf numFmtId="164" fontId="18" fillId="7" borderId="19" xfId="11" applyNumberFormat="1" applyFont="1" applyFill="1" applyBorder="1" applyAlignment="1">
      <alignment horizontal="center" vertical="center"/>
    </xf>
    <xf numFmtId="2" fontId="7" fillId="0" borderId="7" xfId="2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74" xfId="0" applyFont="1" applyBorder="1" applyAlignment="1">
      <alignment horizontal="center" vertical="center"/>
    </xf>
    <xf numFmtId="0" fontId="18" fillId="0" borderId="75" xfId="67" applyFont="1" applyBorder="1" applyAlignment="1">
      <alignment horizontal="center" vertical="center"/>
    </xf>
    <xf numFmtId="0" fontId="7" fillId="0" borderId="75" xfId="67" applyFont="1" applyBorder="1" applyAlignment="1">
      <alignment horizontal="left" vertical="center"/>
    </xf>
    <xf numFmtId="0" fontId="7" fillId="0" borderId="75" xfId="67" applyFont="1" applyBorder="1" applyAlignment="1">
      <alignment horizontal="center" vertical="center"/>
    </xf>
    <xf numFmtId="164" fontId="18" fillId="13" borderId="75" xfId="7" applyNumberFormat="1" applyFont="1" applyFill="1" applyBorder="1" applyAlignment="1">
      <alignment horizontal="center" vertical="center"/>
    </xf>
    <xf numFmtId="2" fontId="7" fillId="0" borderId="76" xfId="2" applyNumberFormat="1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18" fillId="0" borderId="21" xfId="70" applyFont="1" applyBorder="1" applyAlignment="1">
      <alignment horizontal="center" vertical="center"/>
    </xf>
    <xf numFmtId="0" fontId="7" fillId="0" borderId="21" xfId="70" applyFont="1" applyBorder="1" applyAlignment="1">
      <alignment horizontal="center" vertical="center"/>
    </xf>
    <xf numFmtId="164" fontId="18" fillId="7" borderId="21" xfId="4" applyNumberFormat="1" applyFont="1" applyFill="1" applyBorder="1" applyAlignment="1">
      <alignment horizontal="center" vertical="center"/>
    </xf>
    <xf numFmtId="2" fontId="7" fillId="0" borderId="78" xfId="2" applyNumberFormat="1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18" fillId="0" borderId="23" xfId="7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3" xfId="70" applyFont="1" applyBorder="1" applyAlignment="1">
      <alignment horizontal="center" vertical="center"/>
    </xf>
    <xf numFmtId="164" fontId="18" fillId="7" borderId="23" xfId="4" applyNumberFormat="1" applyFont="1" applyFill="1" applyBorder="1" applyAlignment="1">
      <alignment horizontal="center" vertical="center"/>
    </xf>
    <xf numFmtId="2" fontId="7" fillId="0" borderId="67" xfId="2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64" fontId="18" fillId="7" borderId="23" xfId="31" applyNumberFormat="1" applyFont="1" applyFill="1" applyBorder="1" applyAlignment="1">
      <alignment horizontal="center" vertical="center"/>
    </xf>
    <xf numFmtId="0" fontId="9" fillId="2" borderId="1" xfId="69" applyFont="1" applyFill="1" applyBorder="1" applyAlignment="1">
      <alignment horizontal="left" vertical="center"/>
    </xf>
    <xf numFmtId="0" fontId="49" fillId="2" borderId="2" xfId="0" applyFont="1" applyFill="1" applyBorder="1" applyAlignment="1">
      <alignment horizontal="left" vertical="center"/>
    </xf>
    <xf numFmtId="164" fontId="49" fillId="2" borderId="2" xfId="0" applyNumberFormat="1" applyFont="1" applyFill="1" applyBorder="1" applyAlignment="1">
      <alignment horizontal="left" vertical="center"/>
    </xf>
    <xf numFmtId="0" fontId="25" fillId="2" borderId="3" xfId="0" applyFont="1" applyFill="1" applyBorder="1"/>
    <xf numFmtId="0" fontId="24" fillId="2" borderId="2" xfId="0" applyFont="1" applyFill="1" applyBorder="1" applyAlignment="1">
      <alignment vertical="center"/>
    </xf>
    <xf numFmtId="164" fontId="24" fillId="2" borderId="2" xfId="0" applyNumberFormat="1" applyFont="1" applyFill="1" applyBorder="1" applyAlignment="1">
      <alignment vertical="center"/>
    </xf>
    <xf numFmtId="0" fontId="51" fillId="2" borderId="3" xfId="0" applyFont="1" applyFill="1" applyBorder="1" applyAlignment="1">
      <alignment vertical="center"/>
    </xf>
    <xf numFmtId="0" fontId="7" fillId="0" borderId="2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24" fillId="2" borderId="0" xfId="0" applyFont="1" applyFill="1" applyAlignment="1">
      <alignment vertical="center"/>
    </xf>
    <xf numFmtId="164" fontId="24" fillId="2" borderId="0" xfId="0" applyNumberFormat="1" applyFont="1" applyFill="1" applyAlignment="1">
      <alignment vertical="center"/>
    </xf>
    <xf numFmtId="0" fontId="18" fillId="0" borderId="19" xfId="6" applyFont="1" applyBorder="1" applyAlignment="1">
      <alignment horizontal="left" vertical="center"/>
    </xf>
    <xf numFmtId="0" fontId="18" fillId="0" borderId="23" xfId="6" applyFont="1" applyBorder="1" applyAlignment="1">
      <alignment horizontal="left" vertical="center"/>
    </xf>
    <xf numFmtId="0" fontId="7" fillId="0" borderId="23" xfId="67" applyFont="1" applyBorder="1" applyAlignment="1">
      <alignment horizontal="center" vertical="center"/>
    </xf>
    <xf numFmtId="164" fontId="18" fillId="7" borderId="23" xfId="42" applyNumberFormat="1" applyFont="1" applyFill="1" applyBorder="1" applyAlignment="1">
      <alignment horizontal="center" vertical="center"/>
    </xf>
    <xf numFmtId="0" fontId="9" fillId="2" borderId="1" xfId="67" applyFont="1" applyFill="1" applyBorder="1" applyAlignment="1">
      <alignment vertical="center"/>
    </xf>
    <xf numFmtId="0" fontId="27" fillId="2" borderId="2" xfId="0" applyFont="1" applyFill="1" applyBorder="1" applyAlignment="1">
      <alignment vertical="center"/>
    </xf>
    <xf numFmtId="0" fontId="38" fillId="2" borderId="3" xfId="0" applyFont="1" applyFill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18" fillId="0" borderId="21" xfId="6" applyFont="1" applyBorder="1" applyAlignment="1">
      <alignment horizontal="left" vertical="center"/>
    </xf>
    <xf numFmtId="0" fontId="7" fillId="0" borderId="21" xfId="67" applyFont="1" applyBorder="1" applyAlignment="1">
      <alignment horizontal="center" vertical="center"/>
    </xf>
    <xf numFmtId="164" fontId="18" fillId="7" borderId="21" xfId="42" applyNumberFormat="1" applyFont="1" applyFill="1" applyBorder="1" applyAlignment="1">
      <alignment horizontal="center" vertical="center"/>
    </xf>
    <xf numFmtId="0" fontId="9" fillId="2" borderId="1" xfId="6" applyFont="1" applyFill="1" applyBorder="1" applyAlignment="1">
      <alignment vertical="center"/>
    </xf>
    <xf numFmtId="164" fontId="27" fillId="2" borderId="2" xfId="0" applyNumberFormat="1" applyFont="1" applyFill="1" applyBorder="1" applyAlignment="1">
      <alignment vertical="center"/>
    </xf>
    <xf numFmtId="0" fontId="18" fillId="0" borderId="19" xfId="32" applyFont="1" applyBorder="1" applyAlignment="1">
      <alignment horizontal="center" vertical="center"/>
    </xf>
    <xf numFmtId="164" fontId="18" fillId="7" borderId="19" xfId="79" applyNumberFormat="1" applyFont="1" applyFill="1" applyBorder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24" fillId="2" borderId="1" xfId="6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0" borderId="71" xfId="0" applyFont="1" applyBorder="1" applyAlignment="1">
      <alignment horizontal="center"/>
    </xf>
    <xf numFmtId="0" fontId="18" fillId="0" borderId="56" xfId="32" applyFont="1" applyBorder="1" applyAlignment="1">
      <alignment horizontal="center" vertical="center"/>
    </xf>
    <xf numFmtId="164" fontId="18" fillId="7" borderId="56" xfId="79" applyNumberFormat="1" applyFont="1" applyFill="1" applyBorder="1" applyAlignment="1">
      <alignment horizontal="center" vertical="center"/>
    </xf>
    <xf numFmtId="2" fontId="7" fillId="0" borderId="57" xfId="2" applyNumberFormat="1" applyFont="1" applyBorder="1" applyAlignment="1">
      <alignment horizontal="center"/>
    </xf>
    <xf numFmtId="2" fontId="7" fillId="0" borderId="69" xfId="2" applyNumberFormat="1" applyFont="1" applyBorder="1" applyAlignment="1">
      <alignment horizontal="center"/>
    </xf>
    <xf numFmtId="0" fontId="18" fillId="0" borderId="58" xfId="32" applyFont="1" applyBorder="1" applyAlignment="1">
      <alignment horizontal="center" vertical="center"/>
    </xf>
    <xf numFmtId="164" fontId="18" fillId="7" borderId="58" xfId="79" applyNumberFormat="1" applyFont="1" applyFill="1" applyBorder="1" applyAlignment="1">
      <alignment horizontal="center" vertical="center"/>
    </xf>
    <xf numFmtId="2" fontId="7" fillId="0" borderId="59" xfId="2" applyNumberFormat="1" applyFont="1" applyBorder="1" applyAlignment="1">
      <alignment horizontal="center"/>
    </xf>
    <xf numFmtId="0" fontId="23" fillId="2" borderId="1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164" fontId="25" fillId="2" borderId="2" xfId="0" applyNumberFormat="1" applyFont="1" applyFill="1" applyBorder="1" applyAlignment="1">
      <alignment horizontal="left" vertical="center"/>
    </xf>
    <xf numFmtId="0" fontId="18" fillId="0" borderId="62" xfId="0" applyFont="1" applyBorder="1" applyAlignment="1">
      <alignment horizontal="center"/>
    </xf>
    <xf numFmtId="0" fontId="18" fillId="0" borderId="23" xfId="0" applyFont="1" applyBorder="1" applyAlignment="1">
      <alignment horizontal="center" vertical="center"/>
    </xf>
    <xf numFmtId="0" fontId="18" fillId="4" borderId="23" xfId="0" applyFont="1" applyFill="1" applyBorder="1" applyAlignment="1">
      <alignment horizontal="left" vertical="center"/>
    </xf>
    <xf numFmtId="0" fontId="23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/>
    </xf>
    <xf numFmtId="0" fontId="45" fillId="0" borderId="19" xfId="0" quotePrefix="1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/>
    </xf>
    <xf numFmtId="0" fontId="18" fillId="0" borderId="21" xfId="0" applyFont="1" applyBorder="1" applyAlignment="1">
      <alignment horizontal="center" vertical="center"/>
    </xf>
    <xf numFmtId="0" fontId="18" fillId="4" borderId="21" xfId="0" applyFont="1" applyFill="1" applyBorder="1" applyAlignment="1">
      <alignment horizontal="left" vertical="center"/>
    </xf>
    <xf numFmtId="0" fontId="45" fillId="0" borderId="21" xfId="0" quotePrefix="1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2" fontId="8" fillId="0" borderId="9" xfId="0" applyNumberFormat="1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71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6" xfId="0" applyFont="1" applyBorder="1" applyAlignment="1">
      <alignment vertical="center" wrapText="1"/>
    </xf>
    <xf numFmtId="164" fontId="7" fillId="7" borderId="56" xfId="0" applyNumberFormat="1" applyFont="1" applyFill="1" applyBorder="1" applyAlignment="1">
      <alignment horizontal="center" vertical="center" wrapText="1"/>
    </xf>
    <xf numFmtId="2" fontId="45" fillId="0" borderId="57" xfId="0" applyNumberFormat="1" applyFont="1" applyBorder="1" applyAlignment="1">
      <alignment horizontal="center" vertical="center" wrapText="1"/>
    </xf>
    <xf numFmtId="0" fontId="7" fillId="0" borderId="58" xfId="0" applyFont="1" applyBorder="1" applyAlignment="1">
      <alignment vertical="center" wrapText="1"/>
    </xf>
    <xf numFmtId="164" fontId="7" fillId="7" borderId="58" xfId="0" applyNumberFormat="1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/>
    </xf>
    <xf numFmtId="167" fontId="9" fillId="14" borderId="2" xfId="0" applyNumberFormat="1" applyFont="1" applyFill="1" applyBorder="1" applyAlignment="1">
      <alignment horizontal="center"/>
    </xf>
    <xf numFmtId="167" fontId="9" fillId="14" borderId="3" xfId="0" applyNumberFormat="1" applyFont="1" applyFill="1" applyBorder="1" applyAlignment="1">
      <alignment horizontal="center"/>
    </xf>
    <xf numFmtId="0" fontId="18" fillId="0" borderId="62" xfId="0" applyFont="1" applyBorder="1" applyAlignment="1">
      <alignment horizontal="center" vertical="center"/>
    </xf>
    <xf numFmtId="0" fontId="23" fillId="14" borderId="2" xfId="0" applyFont="1" applyFill="1" applyBorder="1" applyAlignment="1">
      <alignment horizontal="center" vertical="center"/>
    </xf>
    <xf numFmtId="0" fontId="23" fillId="1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1" fontId="18" fillId="0" borderId="21" xfId="0" applyNumberFormat="1" applyFont="1" applyBorder="1" applyAlignment="1">
      <alignment horizontal="center" vertical="center" wrapText="1"/>
    </xf>
    <xf numFmtId="0" fontId="23" fillId="15" borderId="2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18" fillId="0" borderId="21" xfId="0" applyFont="1" applyBorder="1" applyAlignment="1">
      <alignment horizontal="left" vertical="center"/>
    </xf>
    <xf numFmtId="0" fontId="18" fillId="0" borderId="6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4" borderId="22" xfId="0" applyFont="1" applyFill="1" applyBorder="1" applyAlignment="1">
      <alignment horizontal="left" vertical="center"/>
    </xf>
    <xf numFmtId="1" fontId="18" fillId="0" borderId="22" xfId="0" applyNumberFormat="1" applyFont="1" applyBorder="1" applyAlignment="1">
      <alignment horizontal="center" vertical="center"/>
    </xf>
    <xf numFmtId="0" fontId="23" fillId="15" borderId="2" xfId="0" applyFont="1" applyFill="1" applyBorder="1" applyAlignment="1">
      <alignment vertical="center"/>
    </xf>
    <xf numFmtId="0" fontId="18" fillId="4" borderId="23" xfId="0" applyFont="1" applyFill="1" applyBorder="1" applyAlignment="1">
      <alignment horizontal="left" vertical="center" wrapText="1"/>
    </xf>
    <xf numFmtId="1" fontId="18" fillId="0" borderId="23" xfId="0" applyNumberFormat="1" applyFont="1" applyBorder="1" applyAlignment="1">
      <alignment horizontal="center" vertical="center"/>
    </xf>
    <xf numFmtId="1" fontId="18" fillId="0" borderId="19" xfId="0" applyNumberFormat="1" applyFont="1" applyBorder="1" applyAlignment="1">
      <alignment horizontal="center" vertical="center"/>
    </xf>
    <xf numFmtId="1" fontId="18" fillId="0" borderId="68" xfId="81" applyNumberFormat="1" applyFont="1" applyBorder="1" applyAlignment="1">
      <alignment horizontal="center"/>
    </xf>
    <xf numFmtId="1" fontId="18" fillId="0" borderId="19" xfId="81" applyNumberFormat="1" applyFont="1" applyBorder="1" applyAlignment="1">
      <alignment horizontal="center" vertical="center"/>
    </xf>
    <xf numFmtId="0" fontId="18" fillId="4" borderId="68" xfId="0" applyFont="1" applyFill="1" applyBorder="1" applyAlignment="1">
      <alignment horizontal="center"/>
    </xf>
    <xf numFmtId="0" fontId="18" fillId="4" borderId="19" xfId="0" applyFont="1" applyFill="1" applyBorder="1" applyAlignment="1">
      <alignment horizontal="center" vertical="center"/>
    </xf>
    <xf numFmtId="1" fontId="18" fillId="4" borderId="19" xfId="0" applyNumberFormat="1" applyFont="1" applyFill="1" applyBorder="1" applyAlignment="1">
      <alignment horizontal="center" vertical="center"/>
    </xf>
    <xf numFmtId="0" fontId="18" fillId="0" borderId="68" xfId="22" applyFont="1" applyBorder="1" applyAlignment="1">
      <alignment horizontal="center"/>
    </xf>
    <xf numFmtId="0" fontId="18" fillId="0" borderId="19" xfId="22" applyFont="1" applyBorder="1" applyAlignment="1">
      <alignment horizontal="center" vertical="center"/>
    </xf>
    <xf numFmtId="0" fontId="18" fillId="4" borderId="19" xfId="22" applyFont="1" applyFill="1" applyBorder="1" applyAlignment="1">
      <alignment horizontal="left" vertical="center"/>
    </xf>
    <xf numFmtId="0" fontId="18" fillId="4" borderId="19" xfId="22" applyFont="1" applyFill="1" applyBorder="1" applyAlignment="1">
      <alignment horizontal="left" vertical="center" wrapText="1"/>
    </xf>
    <xf numFmtId="3" fontId="18" fillId="0" borderId="0" xfId="0" applyNumberFormat="1" applyFont="1" applyAlignment="1">
      <alignment horizontal="center" vertical="center" wrapText="1"/>
    </xf>
    <xf numFmtId="3" fontId="18" fillId="4" borderId="0" xfId="0" applyNumberFormat="1" applyFont="1" applyFill="1" applyAlignment="1">
      <alignment horizontal="center" vertical="center" wrapText="1"/>
    </xf>
    <xf numFmtId="0" fontId="18" fillId="0" borderId="70" xfId="0" applyFont="1" applyBorder="1" applyAlignment="1">
      <alignment horizontal="center"/>
    </xf>
    <xf numFmtId="0" fontId="18" fillId="4" borderId="58" xfId="0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164" fontId="27" fillId="2" borderId="0" xfId="0" applyNumberFormat="1" applyFont="1" applyFill="1" applyAlignment="1">
      <alignment vertical="center"/>
    </xf>
    <xf numFmtId="0" fontId="0" fillId="2" borderId="0" xfId="0" applyFill="1"/>
    <xf numFmtId="164" fontId="48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164" fontId="24" fillId="2" borderId="0" xfId="0" applyNumberFormat="1" applyFont="1" applyFill="1" applyAlignment="1">
      <alignment horizontal="left" vertical="center"/>
    </xf>
    <xf numFmtId="0" fontId="24" fillId="2" borderId="0" xfId="67" applyFont="1" applyFill="1" applyAlignment="1">
      <alignment vertical="center"/>
    </xf>
    <xf numFmtId="164" fontId="24" fillId="2" borderId="0" xfId="67" applyNumberFormat="1" applyFont="1" applyFill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164" fontId="25" fillId="2" borderId="0" xfId="0" applyNumberFormat="1" applyFont="1" applyFill="1" applyAlignment="1">
      <alignment horizontal="left" vertical="center"/>
    </xf>
    <xf numFmtId="0" fontId="7" fillId="0" borderId="80" xfId="0" applyFont="1" applyBorder="1" applyAlignment="1">
      <alignment horizontal="center" vertical="center"/>
    </xf>
    <xf numFmtId="0" fontId="18" fillId="0" borderId="81" xfId="31" applyFont="1" applyBorder="1" applyAlignment="1">
      <alignment horizontal="center" vertical="center"/>
    </xf>
    <xf numFmtId="0" fontId="18" fillId="0" borderId="81" xfId="0" applyFont="1" applyBorder="1" applyAlignment="1">
      <alignment horizontal="left" vertical="center"/>
    </xf>
    <xf numFmtId="0" fontId="7" fillId="0" borderId="81" xfId="67" applyFont="1" applyBorder="1" applyAlignment="1">
      <alignment horizontal="center" vertical="center"/>
    </xf>
    <xf numFmtId="164" fontId="18" fillId="7" borderId="81" xfId="7" applyNumberFormat="1" applyFont="1" applyFill="1" applyBorder="1" applyAlignment="1">
      <alignment horizontal="center" vertical="center"/>
    </xf>
    <xf numFmtId="2" fontId="7" fillId="0" borderId="82" xfId="2" applyNumberFormat="1" applyFont="1" applyBorder="1" applyAlignment="1">
      <alignment horizontal="center" vertical="center"/>
    </xf>
    <xf numFmtId="2" fontId="23" fillId="14" borderId="2" xfId="0" applyNumberFormat="1" applyFont="1" applyFill="1" applyBorder="1" applyAlignment="1">
      <alignment horizontal="center" vertical="center"/>
    </xf>
    <xf numFmtId="2" fontId="23" fillId="15" borderId="2" xfId="0" applyNumberFormat="1" applyFont="1" applyFill="1" applyBorder="1" applyAlignment="1">
      <alignment horizontal="center" vertical="center"/>
    </xf>
    <xf numFmtId="2" fontId="23" fillId="15" borderId="2" xfId="0" applyNumberFormat="1" applyFont="1" applyFill="1" applyBorder="1" applyAlignment="1">
      <alignment vertical="center"/>
    </xf>
    <xf numFmtId="1" fontId="18" fillId="0" borderId="71" xfId="81" applyNumberFormat="1" applyFont="1" applyBorder="1" applyAlignment="1">
      <alignment horizontal="center"/>
    </xf>
    <xf numFmtId="1" fontId="18" fillId="0" borderId="56" xfId="81" applyNumberFormat="1" applyFont="1" applyBorder="1" applyAlignment="1">
      <alignment horizontal="center" vertical="center"/>
    </xf>
    <xf numFmtId="1" fontId="18" fillId="0" borderId="56" xfId="0" applyNumberFormat="1" applyFont="1" applyBorder="1" applyAlignment="1">
      <alignment horizontal="center" vertical="center"/>
    </xf>
    <xf numFmtId="2" fontId="18" fillId="7" borderId="23" xfId="0" applyNumberFormat="1" applyFont="1" applyFill="1" applyBorder="1" applyAlignment="1">
      <alignment horizontal="center" vertical="center"/>
    </xf>
    <xf numFmtId="2" fontId="18" fillId="7" borderId="19" xfId="0" applyNumberFormat="1" applyFont="1" applyFill="1" applyBorder="1" applyAlignment="1">
      <alignment horizontal="center" vertical="center"/>
    </xf>
    <xf numFmtId="2" fontId="18" fillId="7" borderId="21" xfId="0" applyNumberFormat="1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2" fontId="18" fillId="7" borderId="56" xfId="0" applyNumberFormat="1" applyFont="1" applyFill="1" applyBorder="1" applyAlignment="1">
      <alignment horizontal="center" vertical="center"/>
    </xf>
    <xf numFmtId="2" fontId="18" fillId="7" borderId="58" xfId="0" applyNumberFormat="1" applyFont="1" applyFill="1" applyBorder="1" applyAlignment="1">
      <alignment horizontal="center" vertical="center"/>
    </xf>
    <xf numFmtId="0" fontId="7" fillId="0" borderId="56" xfId="2" applyNumberFormat="1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164" fontId="45" fillId="7" borderId="21" xfId="0" applyNumberFormat="1" applyFont="1" applyFill="1" applyBorder="1" applyAlignment="1">
      <alignment horizontal="center" vertical="center" wrapText="1"/>
    </xf>
    <xf numFmtId="0" fontId="7" fillId="0" borderId="19" xfId="2" applyNumberFormat="1" applyFont="1" applyFill="1" applyBorder="1" applyAlignment="1">
      <alignment horizontal="center" vertical="center"/>
    </xf>
    <xf numFmtId="0" fontId="7" fillId="0" borderId="58" xfId="2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4" borderId="56" xfId="68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7" fillId="0" borderId="56" xfId="0" applyFont="1" applyBorder="1"/>
    <xf numFmtId="0" fontId="7" fillId="0" borderId="19" xfId="0" applyFont="1" applyBorder="1"/>
    <xf numFmtId="0" fontId="7" fillId="0" borderId="58" xfId="0" applyFont="1" applyBorder="1"/>
    <xf numFmtId="0" fontId="25" fillId="2" borderId="0" xfId="67" applyFont="1" applyFill="1" applyAlignment="1">
      <alignment vertical="center"/>
    </xf>
    <xf numFmtId="0" fontId="25" fillId="2" borderId="2" xfId="0" applyFont="1" applyFill="1" applyBorder="1" applyAlignment="1">
      <alignment vertical="center"/>
    </xf>
    <xf numFmtId="0" fontId="18" fillId="0" borderId="19" xfId="25" applyFont="1" applyBorder="1" applyAlignment="1">
      <alignment horizontal="center" vertical="center"/>
    </xf>
    <xf numFmtId="0" fontId="18" fillId="0" borderId="58" xfId="25" applyFont="1" applyBorder="1" applyAlignment="1">
      <alignment horizontal="center" vertical="center"/>
    </xf>
    <xf numFmtId="0" fontId="7" fillId="0" borderId="23" xfId="2" applyNumberFormat="1" applyFont="1" applyFill="1" applyBorder="1" applyAlignment="1">
      <alignment horizontal="center" vertical="center"/>
    </xf>
    <xf numFmtId="0" fontId="7" fillId="0" borderId="21" xfId="2" applyNumberFormat="1" applyFont="1" applyFill="1" applyBorder="1" applyAlignment="1">
      <alignment horizontal="center" vertical="center"/>
    </xf>
    <xf numFmtId="2" fontId="7" fillId="4" borderId="56" xfId="62" applyNumberFormat="1" applyFont="1" applyFill="1" applyBorder="1" applyAlignment="1">
      <alignment horizontal="center" vertical="center"/>
    </xf>
    <xf numFmtId="2" fontId="7" fillId="4" borderId="19" xfId="0" applyNumberFormat="1" applyFont="1" applyFill="1" applyBorder="1" applyAlignment="1">
      <alignment horizontal="center" vertical="center"/>
    </xf>
    <xf numFmtId="2" fontId="7" fillId="0" borderId="19" xfId="66" applyNumberFormat="1" applyFont="1" applyBorder="1" applyAlignment="1">
      <alignment horizontal="center" vertical="center"/>
    </xf>
    <xf numFmtId="0" fontId="45" fillId="2" borderId="6" xfId="0" applyFont="1" applyFill="1" applyBorder="1" applyAlignment="1">
      <alignment vertical="center"/>
    </xf>
    <xf numFmtId="0" fontId="45" fillId="2" borderId="2" xfId="0" applyFont="1" applyFill="1" applyBorder="1" applyAlignment="1">
      <alignment horizontal="left" vertical="center"/>
    </xf>
    <xf numFmtId="0" fontId="45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14" borderId="2" xfId="0" applyFont="1" applyFill="1" applyBorder="1" applyAlignment="1">
      <alignment horizontal="center"/>
    </xf>
    <xf numFmtId="0" fontId="18" fillId="1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vertical="center"/>
    </xf>
    <xf numFmtId="2" fontId="18" fillId="0" borderId="67" xfId="0" applyNumberFormat="1" applyFont="1" applyBorder="1" applyAlignment="1">
      <alignment horizontal="center" vertical="center"/>
    </xf>
    <xf numFmtId="2" fontId="18" fillId="0" borderId="69" xfId="0" applyNumberFormat="1" applyFont="1" applyBorder="1" applyAlignment="1">
      <alignment horizontal="center" vertical="center"/>
    </xf>
    <xf numFmtId="2" fontId="18" fillId="0" borderId="78" xfId="0" applyNumberFormat="1" applyFont="1" applyBorder="1" applyAlignment="1">
      <alignment horizontal="center" vertical="center"/>
    </xf>
    <xf numFmtId="2" fontId="18" fillId="15" borderId="3" xfId="0" applyNumberFormat="1" applyFont="1" applyFill="1" applyBorder="1" applyAlignment="1">
      <alignment horizontal="center" vertical="center"/>
    </xf>
    <xf numFmtId="2" fontId="18" fillId="14" borderId="3" xfId="0" applyNumberFormat="1" applyFont="1" applyFill="1" applyBorder="1" applyAlignment="1">
      <alignment horizontal="center" vertical="center"/>
    </xf>
    <xf numFmtId="2" fontId="18" fillId="0" borderId="73" xfId="0" applyNumberFormat="1" applyFont="1" applyBorder="1" applyAlignment="1">
      <alignment horizontal="center" vertical="center"/>
    </xf>
    <xf numFmtId="2" fontId="18" fillId="15" borderId="3" xfId="0" applyNumberFormat="1" applyFont="1" applyFill="1" applyBorder="1" applyAlignment="1">
      <alignment vertical="center"/>
    </xf>
    <xf numFmtId="2" fontId="18" fillId="0" borderId="57" xfId="0" applyNumberFormat="1" applyFont="1" applyBorder="1" applyAlignment="1">
      <alignment horizontal="center" vertical="center"/>
    </xf>
    <xf numFmtId="2" fontId="18" fillId="0" borderId="59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37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4" fillId="11" borderId="52" xfId="0" applyFont="1" applyFill="1" applyBorder="1" applyAlignment="1">
      <alignment horizontal="center" vertical="center" wrapText="1"/>
    </xf>
    <xf numFmtId="0" fontId="42" fillId="11" borderId="52" xfId="0" applyFont="1" applyFill="1" applyBorder="1" applyAlignment="1">
      <alignment horizontal="center" vertical="center" wrapText="1"/>
    </xf>
    <xf numFmtId="0" fontId="42" fillId="11" borderId="53" xfId="0" applyFont="1" applyFill="1" applyBorder="1" applyAlignment="1">
      <alignment horizontal="center" vertical="center" wrapText="1"/>
    </xf>
    <xf numFmtId="0" fontId="44" fillId="11" borderId="50" xfId="0" applyFont="1" applyFill="1" applyBorder="1" applyAlignment="1">
      <alignment horizontal="center" vertical="center" wrapText="1"/>
    </xf>
    <xf numFmtId="0" fontId="42" fillId="11" borderId="50" xfId="0" applyFont="1" applyFill="1" applyBorder="1" applyAlignment="1">
      <alignment horizontal="center" vertical="center" wrapText="1"/>
    </xf>
    <xf numFmtId="0" fontId="42" fillId="11" borderId="5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/>
    <xf numFmtId="0" fontId="7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6" fillId="2" borderId="39" xfId="0" applyFont="1" applyFill="1" applyBorder="1" applyAlignment="1">
      <alignment horizontal="left" vertical="center"/>
    </xf>
    <xf numFmtId="0" fontId="26" fillId="2" borderId="40" xfId="0" applyFont="1" applyFill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0" fontId="26" fillId="2" borderId="39" xfId="23" applyFont="1" applyFill="1" applyBorder="1" applyAlignment="1">
      <alignment horizontal="left" vertical="center"/>
    </xf>
    <xf numFmtId="0" fontId="26" fillId="2" borderId="40" xfId="23" applyFont="1" applyFill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4" fillId="2" borderId="39" xfId="6" applyFont="1" applyFill="1" applyBorder="1" applyAlignment="1">
      <alignment vertical="center"/>
    </xf>
    <xf numFmtId="0" fontId="27" fillId="2" borderId="40" xfId="0" applyFont="1" applyFill="1" applyBorder="1" applyAlignment="1">
      <alignment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44" fillId="11" borderId="10" xfId="0" applyFont="1" applyFill="1" applyBorder="1" applyAlignment="1">
      <alignment horizontal="center" vertical="center" wrapText="1"/>
    </xf>
    <xf numFmtId="0" fontId="42" fillId="11" borderId="20" xfId="0" applyFont="1" applyFill="1" applyBorder="1" applyAlignment="1">
      <alignment horizontal="center" vertical="center" wrapText="1"/>
    </xf>
    <xf numFmtId="0" fontId="42" fillId="11" borderId="24" xfId="0" applyFont="1" applyFill="1" applyBorder="1" applyAlignment="1">
      <alignment horizontal="center" vertical="center" wrapText="1"/>
    </xf>
    <xf numFmtId="0" fontId="4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46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23" fillId="15" borderId="1" xfId="0" applyFont="1" applyFill="1" applyBorder="1" applyAlignment="1">
      <alignment horizontal="left" vertical="center"/>
    </xf>
    <xf numFmtId="0" fontId="23" fillId="15" borderId="2" xfId="0" applyFont="1" applyFill="1" applyBorder="1" applyAlignment="1">
      <alignment horizontal="left" vertical="center"/>
    </xf>
    <xf numFmtId="0" fontId="23" fillId="14" borderId="1" xfId="0" applyFont="1" applyFill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15" borderId="2" xfId="0" applyFont="1" applyFill="1" applyBorder="1" applyAlignment="1">
      <alignment horizontal="left" vertical="center"/>
    </xf>
    <xf numFmtId="0" fontId="23" fillId="14" borderId="2" xfId="0" applyFont="1" applyFill="1" applyBorder="1" applyAlignment="1">
      <alignment horizontal="left" vertical="center"/>
    </xf>
  </cellXfs>
  <cellStyles count="82">
    <cellStyle name="Currency" xfId="2" builtinId="4"/>
    <cellStyle name="Explanatory Text" xfId="31" builtinId="53"/>
    <cellStyle name="Hyperlink" xfId="1" builtinId="8"/>
    <cellStyle name="Normal" xfId="0" builtinId="0"/>
    <cellStyle name="Normal 11" xfId="13" xr:uid="{00000000-0005-0000-0000-000004000000}"/>
    <cellStyle name="Normal 11 2" xfId="50" xr:uid="{E1C1998F-4F8B-40EA-BEBB-D572943989E2}"/>
    <cellStyle name="Normal 11 2 2" xfId="76" xr:uid="{6E1B54A8-80AB-4B1D-AD11-DE6515019E1F}"/>
    <cellStyle name="Normal 11 3" xfId="73" xr:uid="{03798898-3799-40EC-8B11-1B6911CA8422}"/>
    <cellStyle name="Normal 11 4" xfId="63" xr:uid="{2FE055AF-41B1-46F3-B637-9F7211B2A9E5}"/>
    <cellStyle name="Normal 13" xfId="15" xr:uid="{00000000-0005-0000-0000-000005000000}"/>
    <cellStyle name="Normal 13 2" xfId="33" xr:uid="{A3BE00FF-9131-425A-870E-FBE74DE6DE6D}"/>
    <cellStyle name="Normal 13 2 2" xfId="59" xr:uid="{9E37D85B-E6AF-49C1-B4BA-4D9F6883AD35}"/>
    <cellStyle name="Normal 13 2 3" xfId="66" xr:uid="{7C3B1D99-E0FB-482C-A5E5-944547454584}"/>
    <cellStyle name="Normal 13 3" xfId="51" xr:uid="{82E371FA-2892-4BF0-9C22-4BFDF19064B9}"/>
    <cellStyle name="Normal 13 4" xfId="74" xr:uid="{67A984FC-9719-4262-AE08-0036AF74BD23}"/>
    <cellStyle name="Normal 14" xfId="17" xr:uid="{00000000-0005-0000-0000-000006000000}"/>
    <cellStyle name="Normal 14 2" xfId="52" xr:uid="{C53FDD9D-8E2D-479B-BCD3-BC995D2C20A2}"/>
    <cellStyle name="Normal 15" xfId="18" xr:uid="{00000000-0005-0000-0000-000007000000}"/>
    <cellStyle name="Normal 15 2" xfId="53" xr:uid="{3B572B3E-831B-448A-BC49-93CFBAFF7C6B}"/>
    <cellStyle name="Normal 16" xfId="19" xr:uid="{00000000-0005-0000-0000-000008000000}"/>
    <cellStyle name="Normal 16 2" xfId="54" xr:uid="{F74EB51D-1614-4A4A-ADC5-B4F50F532158}"/>
    <cellStyle name="Normal 16 2 2" xfId="77" xr:uid="{EB787ADA-FC98-47ED-BF9F-43C6FB876641}"/>
    <cellStyle name="Normal 17" xfId="22" xr:uid="{00000000-0005-0000-0000-000009000000}"/>
    <cellStyle name="Normal 17 2" xfId="55" xr:uid="{526CC1AC-8C1D-4D00-967A-47C6E6F6554D}"/>
    <cellStyle name="Normal 17 3" xfId="75" xr:uid="{08B6BA86-7726-4CBA-8F7D-B383838EB12D}"/>
    <cellStyle name="Normal 18" xfId="24" xr:uid="{00000000-0005-0000-0000-00000A000000}"/>
    <cellStyle name="Normal 18 2" xfId="34" xr:uid="{895FDB0A-66C6-4D98-9E2E-4F59EB238748}"/>
    <cellStyle name="Normal 18 2 2" xfId="60" xr:uid="{9D6FA3F7-4465-4D24-B67E-4B56521703BE}"/>
    <cellStyle name="Normal 18 2 3" xfId="65" xr:uid="{EFA19504-5049-4223-8E84-94493332AE3B}"/>
    <cellStyle name="Normal 18 3" xfId="43" xr:uid="{BA224D26-F9CE-402E-99CC-467065BC3A58}"/>
    <cellStyle name="Normal 18 4" xfId="64" xr:uid="{A573116F-B38E-4BCC-A38F-AF6F7F589003}"/>
    <cellStyle name="Normal 18 5" xfId="78" xr:uid="{4496ACBF-2402-416D-AF34-EAF5B1180DE5}"/>
    <cellStyle name="Normal 19" xfId="23" xr:uid="{00000000-0005-0000-0000-00000B000000}"/>
    <cellStyle name="Normal 19 2" xfId="56" xr:uid="{D51F384C-3935-47B3-8DA9-DDD8171E38CD}"/>
    <cellStyle name="Normal 2" xfId="3" xr:uid="{00000000-0005-0000-0000-00000C000000}"/>
    <cellStyle name="Normal 2 2" xfId="45" xr:uid="{AAC4C6C9-A0A7-43BF-A99C-ABFEAEAFFC82}"/>
    <cellStyle name="Normal 2 2 2" xfId="70" xr:uid="{7805BA6F-E939-485A-93AA-DD294D8D656E}"/>
    <cellStyle name="Normal 20" xfId="26" xr:uid="{00000000-0005-0000-0000-00000D000000}"/>
    <cellStyle name="Normal 20 2" xfId="57" xr:uid="{C36C3982-AF9F-46B7-B0E0-B41884104A51}"/>
    <cellStyle name="Normal 20 3" xfId="72" xr:uid="{4206A227-1EBE-41A0-9C04-FF3B9490468E}"/>
    <cellStyle name="Normal 21" xfId="30" xr:uid="{00000000-0005-0000-0000-00000E000000}"/>
    <cellStyle name="Normal 21 2" xfId="58" xr:uid="{BC52F183-D2AD-4121-A044-82AA342691AD}"/>
    <cellStyle name="Normal 3" xfId="44" xr:uid="{B48859B2-02F5-455A-8E04-1FC8B04163E5}"/>
    <cellStyle name="Normal 6" xfId="5" xr:uid="{00000000-0005-0000-0000-00000F000000}"/>
    <cellStyle name="Normal 6 2" xfId="46" xr:uid="{9A70D975-6664-4993-8FC3-4D84490EF229}"/>
    <cellStyle name="Normal 6 2 2" xfId="69" xr:uid="{C35BF93F-8AA9-4F2B-804C-B0EACD810C64}"/>
    <cellStyle name="Normal 7" xfId="8" xr:uid="{00000000-0005-0000-0000-000010000000}"/>
    <cellStyle name="Normal 7 2" xfId="48" xr:uid="{43CDE4C9-A075-46EE-A8D3-4174D62B38AD}"/>
    <cellStyle name="Normal 7 2 2" xfId="71" xr:uid="{7AFF3295-3333-4ADA-984F-9BF15C330D34}"/>
    <cellStyle name="Normal 8" xfId="6" xr:uid="{00000000-0005-0000-0000-000011000000}"/>
    <cellStyle name="Normal 8 2" xfId="35" xr:uid="{4DFB825E-8840-428A-96AD-1C2C7B1B0A3A}"/>
    <cellStyle name="Normal 8 2 2" xfId="61" xr:uid="{F09E2655-8A88-4199-8781-382C605B6249}"/>
    <cellStyle name="Normal 8 3" xfId="47" xr:uid="{5CFF719B-D987-4D24-AE94-D215F00BB249}"/>
    <cellStyle name="Normal 8 4" xfId="62" xr:uid="{C2D68546-FD39-46FA-8348-A5FEA09C0493}"/>
    <cellStyle name="Normal 8 5" xfId="67" xr:uid="{46C0AB53-AC2D-4E45-9019-BAD4B01443FF}"/>
    <cellStyle name="Normal 9" xfId="10" xr:uid="{00000000-0005-0000-0000-000012000000}"/>
    <cellStyle name="Normal 9 2" xfId="49" xr:uid="{66B93568-8718-4252-BB2A-5D248E897902}"/>
    <cellStyle name="Normal 9 2 2" xfId="68" xr:uid="{C590B267-082D-44C8-B623-ED29546CE253}"/>
    <cellStyle name="Standaard 10 2" xfId="4" xr:uid="{00000000-0005-0000-0000-000013000000}"/>
    <cellStyle name="Standaard 11" xfId="81" xr:uid="{CA0B93CD-D9D4-42EA-9972-D98D1A4F8778}"/>
    <cellStyle name="Standaard 12" xfId="80" xr:uid="{27F8C7A0-F088-4546-A037-1E63A6265DE4}"/>
    <cellStyle name="Standaard 16 2" xfId="12" xr:uid="{00000000-0005-0000-0000-000014000000}"/>
    <cellStyle name="Standaard 17 2" xfId="20" xr:uid="{00000000-0005-0000-0000-000015000000}"/>
    <cellStyle name="Standaard 18 2" xfId="21" xr:uid="{00000000-0005-0000-0000-000016000000}"/>
    <cellStyle name="Standaard 19 2" xfId="9" xr:uid="{00000000-0005-0000-0000-000017000000}"/>
    <cellStyle name="Standaard 20 2" xfId="11" xr:uid="{00000000-0005-0000-0000-000018000000}"/>
    <cellStyle name="Standaard 22 2" xfId="14" xr:uid="{00000000-0005-0000-0000-000019000000}"/>
    <cellStyle name="Standaard 23 2" xfId="16" xr:uid="{00000000-0005-0000-0000-00001A000000}"/>
    <cellStyle name="Standaard 27 2" xfId="29" xr:uid="{00000000-0005-0000-0000-00001B000000}"/>
    <cellStyle name="Standaard 30 2" xfId="32" xr:uid="{6C207B88-700D-473A-9DE3-E87421FCAE72}"/>
    <cellStyle name="Standaard 31 2" xfId="79" xr:uid="{BBAA6F4F-E93B-4A9C-BCCD-85FCF9269B39}"/>
    <cellStyle name="Standaard 4 2" xfId="7" xr:uid="{00000000-0005-0000-0000-00001C000000}"/>
    <cellStyle name="Standaard 52 2" xfId="27" xr:uid="{00000000-0005-0000-0000-00001D000000}"/>
    <cellStyle name="Standaard 53 2" xfId="28" xr:uid="{00000000-0005-0000-0000-00001E000000}"/>
    <cellStyle name="Standaard 62 2" xfId="37" xr:uid="{9F1D4467-5C87-4E99-9047-AB985B95CB0B}"/>
    <cellStyle name="Standaard 63 2" xfId="38" xr:uid="{7E37A7BA-C511-4CFC-9049-816D3CCC7395}"/>
    <cellStyle name="Standaard 64 2" xfId="39" xr:uid="{D8F67D73-7E97-4A04-83D7-367E027A7A5E}"/>
    <cellStyle name="Standaard 65" xfId="40" xr:uid="{9F0557F9-F72F-42EA-B475-55ED0FAFB40C}"/>
    <cellStyle name="Standaard 66 2" xfId="41" xr:uid="{6E18278A-50C3-4F7C-B154-76F19B54CC4C}"/>
    <cellStyle name="Standaard 68 2" xfId="36" xr:uid="{61147359-2167-4669-83D5-D0AE079322E7}"/>
    <cellStyle name="Standaard 69 2" xfId="42" xr:uid="{0CC87385-D833-4B90-B7F7-F9EBF10BC555}"/>
    <cellStyle name="Standaard 7 2" xfId="25" xr:uid="{00000000-0005-0000-0000-00001F000000}"/>
  </cellStyles>
  <dxfs count="10">
    <dxf>
      <font>
        <strike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10F105"/>
      <color rgb="FF43CEFF"/>
      <color rgb="FF21B9AE"/>
      <color rgb="FFA66BD3"/>
      <color rgb="FFFF99FF"/>
      <color rgb="FF00E668"/>
      <color rgb="FFFF33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6.emf"/><Relationship Id="rId21" Type="http://schemas.openxmlformats.org/officeDocument/2006/relationships/image" Target="../media/image31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63" Type="http://schemas.openxmlformats.org/officeDocument/2006/relationships/image" Target="../media/image70.jpeg"/><Relationship Id="rId68" Type="http://schemas.openxmlformats.org/officeDocument/2006/relationships/image" Target="../media/image75.png"/><Relationship Id="rId84" Type="http://schemas.openxmlformats.org/officeDocument/2006/relationships/image" Target="../media/image91.png"/><Relationship Id="rId16" Type="http://schemas.openxmlformats.org/officeDocument/2006/relationships/image" Target="../media/image26.png"/><Relationship Id="rId11" Type="http://schemas.openxmlformats.org/officeDocument/2006/relationships/image" Target="../media/image21.png"/><Relationship Id="rId32" Type="http://schemas.openxmlformats.org/officeDocument/2006/relationships/image" Target="../media/image42.emf"/><Relationship Id="rId37" Type="http://schemas.openxmlformats.org/officeDocument/2006/relationships/image" Target="../media/image47.png"/><Relationship Id="rId53" Type="http://schemas.openxmlformats.org/officeDocument/2006/relationships/image" Target="../media/image63.png"/><Relationship Id="rId58" Type="http://schemas.openxmlformats.org/officeDocument/2006/relationships/image" Target="../media/image68.jpeg"/><Relationship Id="rId74" Type="http://schemas.openxmlformats.org/officeDocument/2006/relationships/image" Target="../media/image81.png"/><Relationship Id="rId79" Type="http://schemas.openxmlformats.org/officeDocument/2006/relationships/image" Target="../media/image86.png"/><Relationship Id="rId5" Type="http://schemas.openxmlformats.org/officeDocument/2006/relationships/image" Target="../media/image15.jpg"/><Relationship Id="rId19" Type="http://schemas.openxmlformats.org/officeDocument/2006/relationships/image" Target="../media/image29.emf"/><Relationship Id="rId14" Type="http://schemas.openxmlformats.org/officeDocument/2006/relationships/image" Target="../media/image24.jpg"/><Relationship Id="rId22" Type="http://schemas.openxmlformats.org/officeDocument/2006/relationships/image" Target="../media/image32.png"/><Relationship Id="rId27" Type="http://schemas.openxmlformats.org/officeDocument/2006/relationships/image" Target="../media/image37.emf"/><Relationship Id="rId30" Type="http://schemas.openxmlformats.org/officeDocument/2006/relationships/image" Target="../media/image40.jpe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56" Type="http://schemas.openxmlformats.org/officeDocument/2006/relationships/image" Target="../media/image66.png"/><Relationship Id="rId64" Type="http://schemas.openxmlformats.org/officeDocument/2006/relationships/image" Target="../media/image71.png"/><Relationship Id="rId69" Type="http://schemas.openxmlformats.org/officeDocument/2006/relationships/image" Target="../media/image76.png"/><Relationship Id="rId77" Type="http://schemas.openxmlformats.org/officeDocument/2006/relationships/image" Target="../media/image84.emf"/><Relationship Id="rId8" Type="http://schemas.openxmlformats.org/officeDocument/2006/relationships/image" Target="../media/image18.png"/><Relationship Id="rId51" Type="http://schemas.openxmlformats.org/officeDocument/2006/relationships/image" Target="../media/image61.png"/><Relationship Id="rId72" Type="http://schemas.openxmlformats.org/officeDocument/2006/relationships/image" Target="../media/image79.png"/><Relationship Id="rId80" Type="http://schemas.openxmlformats.org/officeDocument/2006/relationships/image" Target="../media/image87.png"/><Relationship Id="rId85" Type="http://schemas.openxmlformats.org/officeDocument/2006/relationships/image" Target="../media/image92.jpeg"/><Relationship Id="rId3" Type="http://schemas.openxmlformats.org/officeDocument/2006/relationships/image" Target="../media/image1.jpeg"/><Relationship Id="rId12" Type="http://schemas.openxmlformats.org/officeDocument/2006/relationships/image" Target="../media/image22.png"/><Relationship Id="rId17" Type="http://schemas.openxmlformats.org/officeDocument/2006/relationships/image" Target="../media/image27.png"/><Relationship Id="rId25" Type="http://schemas.openxmlformats.org/officeDocument/2006/relationships/image" Target="../media/image35.jpe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jpeg"/><Relationship Id="rId59" Type="http://schemas.openxmlformats.org/officeDocument/2006/relationships/image" Target="../media/image8.png"/><Relationship Id="rId67" Type="http://schemas.openxmlformats.org/officeDocument/2006/relationships/image" Target="../media/image74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54" Type="http://schemas.openxmlformats.org/officeDocument/2006/relationships/image" Target="../media/image64.png"/><Relationship Id="rId62" Type="http://schemas.openxmlformats.org/officeDocument/2006/relationships/image" Target="../media/image6.emf"/><Relationship Id="rId70" Type="http://schemas.openxmlformats.org/officeDocument/2006/relationships/image" Target="../media/image77.png"/><Relationship Id="rId75" Type="http://schemas.openxmlformats.org/officeDocument/2006/relationships/image" Target="../media/image82.png"/><Relationship Id="rId83" Type="http://schemas.openxmlformats.org/officeDocument/2006/relationships/image" Target="../media/image90.png"/><Relationship Id="rId1" Type="http://schemas.openxmlformats.org/officeDocument/2006/relationships/image" Target="../media/image12.jpeg"/><Relationship Id="rId6" Type="http://schemas.openxmlformats.org/officeDocument/2006/relationships/image" Target="../media/image16.png"/><Relationship Id="rId15" Type="http://schemas.openxmlformats.org/officeDocument/2006/relationships/image" Target="../media/image25.png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jpeg"/><Relationship Id="rId57" Type="http://schemas.openxmlformats.org/officeDocument/2006/relationships/image" Target="../media/image67.png"/><Relationship Id="rId10" Type="http://schemas.openxmlformats.org/officeDocument/2006/relationships/image" Target="../media/image20.png"/><Relationship Id="rId31" Type="http://schemas.openxmlformats.org/officeDocument/2006/relationships/image" Target="../media/image41.jpe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60" Type="http://schemas.openxmlformats.org/officeDocument/2006/relationships/image" Target="../media/image69.png"/><Relationship Id="rId65" Type="http://schemas.openxmlformats.org/officeDocument/2006/relationships/image" Target="../media/image72.jpeg"/><Relationship Id="rId73" Type="http://schemas.openxmlformats.org/officeDocument/2006/relationships/image" Target="../media/image80.png"/><Relationship Id="rId78" Type="http://schemas.openxmlformats.org/officeDocument/2006/relationships/image" Target="../media/image85.jpeg"/><Relationship Id="rId81" Type="http://schemas.openxmlformats.org/officeDocument/2006/relationships/image" Target="../media/image88.png"/><Relationship Id="rId86" Type="http://schemas.openxmlformats.org/officeDocument/2006/relationships/image" Target="../media/image93.emf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3" Type="http://schemas.openxmlformats.org/officeDocument/2006/relationships/image" Target="../media/image23.jpeg"/><Relationship Id="rId18" Type="http://schemas.openxmlformats.org/officeDocument/2006/relationships/image" Target="../media/image28.emf"/><Relationship Id="rId39" Type="http://schemas.openxmlformats.org/officeDocument/2006/relationships/image" Target="../media/image49.png"/><Relationship Id="rId34" Type="http://schemas.openxmlformats.org/officeDocument/2006/relationships/image" Target="../media/image44.emf"/><Relationship Id="rId50" Type="http://schemas.openxmlformats.org/officeDocument/2006/relationships/image" Target="../media/image60.png"/><Relationship Id="rId55" Type="http://schemas.openxmlformats.org/officeDocument/2006/relationships/image" Target="../media/image65.png"/><Relationship Id="rId76" Type="http://schemas.openxmlformats.org/officeDocument/2006/relationships/image" Target="../media/image83.png"/><Relationship Id="rId7" Type="http://schemas.openxmlformats.org/officeDocument/2006/relationships/image" Target="../media/image17.png"/><Relationship Id="rId71" Type="http://schemas.openxmlformats.org/officeDocument/2006/relationships/image" Target="../media/image78.png"/><Relationship Id="rId2" Type="http://schemas.openxmlformats.org/officeDocument/2006/relationships/image" Target="../media/image13.png"/><Relationship Id="rId29" Type="http://schemas.openxmlformats.org/officeDocument/2006/relationships/image" Target="../media/image39.png"/><Relationship Id="rId24" Type="http://schemas.openxmlformats.org/officeDocument/2006/relationships/image" Target="../media/image34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66" Type="http://schemas.openxmlformats.org/officeDocument/2006/relationships/image" Target="../media/image73.png"/><Relationship Id="rId87" Type="http://schemas.openxmlformats.org/officeDocument/2006/relationships/image" Target="../media/image94.jpeg"/><Relationship Id="rId61" Type="http://schemas.openxmlformats.org/officeDocument/2006/relationships/image" Target="../media/image9.png"/><Relationship Id="rId82" Type="http://schemas.openxmlformats.org/officeDocument/2006/relationships/image" Target="../media/image89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695325</xdr:colOff>
      <xdr:row>0</xdr:row>
      <xdr:rowOff>1543050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2384DC66-18CB-4178-9C32-8DAC8031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4300"/>
          <a:ext cx="15240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</xdr:colOff>
      <xdr:row>9</xdr:row>
      <xdr:rowOff>10366</xdr:rowOff>
    </xdr:from>
    <xdr:to>
      <xdr:col>32</xdr:col>
      <xdr:colOff>26732</xdr:colOff>
      <xdr:row>17</xdr:row>
      <xdr:rowOff>200026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9E0D5C1C-4DFC-4DB0-9C49-81FD6D854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83375" y="3163141"/>
          <a:ext cx="3293807" cy="2494710"/>
        </a:xfrm>
        <a:prstGeom prst="rect">
          <a:avLst/>
        </a:prstGeom>
      </xdr:spPr>
    </xdr:pic>
    <xdr:clientData/>
  </xdr:twoCellAnchor>
  <xdr:twoCellAnchor editAs="oneCell">
    <xdr:from>
      <xdr:col>2</xdr:col>
      <xdr:colOff>1321165</xdr:colOff>
      <xdr:row>10</xdr:row>
      <xdr:rowOff>45584</xdr:rowOff>
    </xdr:from>
    <xdr:to>
      <xdr:col>2</xdr:col>
      <xdr:colOff>3649136</xdr:colOff>
      <xdr:row>13</xdr:row>
      <xdr:rowOff>86405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2329935B-2102-40B3-9FC4-EA867742F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314486" y="3665084"/>
          <a:ext cx="2323209" cy="83003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68357</xdr:colOff>
      <xdr:row>23</xdr:row>
      <xdr:rowOff>189659</xdr:rowOff>
    </xdr:from>
    <xdr:to>
      <xdr:col>32</xdr:col>
      <xdr:colOff>85608</xdr:colOff>
      <xdr:row>32</xdr:row>
      <xdr:rowOff>152399</xdr:rowOff>
    </xdr:to>
    <xdr:pic>
      <xdr:nvPicPr>
        <xdr:cNvPr id="9" name="Imagine 8" descr="MAGNUM Trace Micro Fluor polimer ">
          <a:extLst>
            <a:ext uri="{FF2B5EF4-FFF2-40B4-BE49-F238E27FC236}">
              <a16:creationId xmlns:a16="http://schemas.microsoft.com/office/drawing/2014/main" id="{41B12FE2-B722-4016-B831-8B5A5742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2682" y="7123859"/>
          <a:ext cx="3303376" cy="2086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20731</xdr:colOff>
      <xdr:row>17</xdr:row>
      <xdr:rowOff>247929</xdr:rowOff>
    </xdr:from>
    <xdr:to>
      <xdr:col>31</xdr:col>
      <xdr:colOff>628650</xdr:colOff>
      <xdr:row>24</xdr:row>
      <xdr:rowOff>19214</xdr:rowOff>
    </xdr:to>
    <xdr:pic>
      <xdr:nvPicPr>
        <xdr:cNvPr id="13" name="Picture 16">
          <a:extLst>
            <a:ext uri="{FF2B5EF4-FFF2-40B4-BE49-F238E27FC236}">
              <a16:creationId xmlns:a16="http://schemas.microsoft.com/office/drawing/2014/main" id="{E1DF05CC-8158-4B0D-A77A-BCFB335B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385056" y="5705754"/>
          <a:ext cx="3236819" cy="143339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1535801</xdr:colOff>
      <xdr:row>13</xdr:row>
      <xdr:rowOff>173313</xdr:rowOff>
    </xdr:from>
    <xdr:to>
      <xdr:col>2</xdr:col>
      <xdr:colOff>3895639</xdr:colOff>
      <xdr:row>20</xdr:row>
      <xdr:rowOff>323850</xdr:rowOff>
    </xdr:to>
    <xdr:pic>
      <xdr:nvPicPr>
        <xdr:cNvPr id="14" name="Picture 30">
          <a:extLst>
            <a:ext uri="{FF2B5EF4-FFF2-40B4-BE49-F238E27FC236}">
              <a16:creationId xmlns:a16="http://schemas.microsoft.com/office/drawing/2014/main" id="{20B3F9BB-B1BC-4BC8-A143-F0C5C5F0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535926" y="4602438"/>
          <a:ext cx="2359838" cy="18269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13</xdr:row>
      <xdr:rowOff>189878</xdr:rowOff>
    </xdr:from>
    <xdr:to>
      <xdr:col>2</xdr:col>
      <xdr:colOff>1238249</xdr:colOff>
      <xdr:row>20</xdr:row>
      <xdr:rowOff>198420</xdr:rowOff>
    </xdr:to>
    <xdr:pic>
      <xdr:nvPicPr>
        <xdr:cNvPr id="10" name="Imagine 9">
          <a:extLst>
            <a:ext uri="{FF2B5EF4-FFF2-40B4-BE49-F238E27FC236}">
              <a16:creationId xmlns:a16="http://schemas.microsoft.com/office/drawing/2014/main" id="{A74A0B6A-75D1-4FA1-98B8-05489BDA3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199" y="4619003"/>
          <a:ext cx="1019175" cy="1684942"/>
        </a:xfrm>
        <a:prstGeom prst="rect">
          <a:avLst/>
        </a:prstGeom>
      </xdr:spPr>
    </xdr:pic>
    <xdr:clientData/>
  </xdr:twoCellAnchor>
  <xdr:twoCellAnchor editAs="oneCell">
    <xdr:from>
      <xdr:col>0</xdr:col>
      <xdr:colOff>58141</xdr:colOff>
      <xdr:row>13</xdr:row>
      <xdr:rowOff>96078</xdr:rowOff>
    </xdr:from>
    <xdr:to>
      <xdr:col>1</xdr:col>
      <xdr:colOff>483703</xdr:colOff>
      <xdr:row>20</xdr:row>
      <xdr:rowOff>171450</xdr:rowOff>
    </xdr:to>
    <xdr:pic>
      <xdr:nvPicPr>
        <xdr:cNvPr id="11" name="Imagine 10">
          <a:extLst>
            <a:ext uri="{FF2B5EF4-FFF2-40B4-BE49-F238E27FC236}">
              <a16:creationId xmlns:a16="http://schemas.microsoft.com/office/drawing/2014/main" id="{9CC5B246-3BAB-41EC-8A0B-9D4C892C7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141" y="4525203"/>
          <a:ext cx="835137" cy="1751772"/>
        </a:xfrm>
        <a:prstGeom prst="rect">
          <a:avLst/>
        </a:prstGeom>
      </xdr:spPr>
    </xdr:pic>
    <xdr:clientData/>
  </xdr:twoCellAnchor>
  <xdr:twoCellAnchor editAs="oneCell">
    <xdr:from>
      <xdr:col>0</xdr:col>
      <xdr:colOff>163167</xdr:colOff>
      <xdr:row>9</xdr:row>
      <xdr:rowOff>406941</xdr:rowOff>
    </xdr:from>
    <xdr:to>
      <xdr:col>2</xdr:col>
      <xdr:colOff>998084</xdr:colOff>
      <xdr:row>13</xdr:row>
      <xdr:rowOff>27126</xdr:rowOff>
    </xdr:to>
    <xdr:pic>
      <xdr:nvPicPr>
        <xdr:cNvPr id="12" name="Imagine 11">
          <a:extLst>
            <a:ext uri="{FF2B5EF4-FFF2-40B4-BE49-F238E27FC236}">
              <a16:creationId xmlns:a16="http://schemas.microsoft.com/office/drawing/2014/main" id="{F87F217C-6945-4A90-84FC-D7FF0FBFB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3167" y="3536584"/>
          <a:ext cx="1823476" cy="899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178214</xdr:colOff>
      <xdr:row>10</xdr:row>
      <xdr:rowOff>6765</xdr:rowOff>
    </xdr:from>
    <xdr:to>
      <xdr:col>18</xdr:col>
      <xdr:colOff>536023</xdr:colOff>
      <xdr:row>11</xdr:row>
      <xdr:rowOff>740189</xdr:rowOff>
    </xdr:to>
    <xdr:pic>
      <xdr:nvPicPr>
        <xdr:cNvPr id="2" name="Picture 2" descr="MAGNUM Remote Control">
          <a:extLst>
            <a:ext uri="{FF2B5EF4-FFF2-40B4-BE49-F238E27FC236}">
              <a16:creationId xmlns:a16="http://schemas.microsoft.com/office/drawing/2014/main" id="{FB43AD41-0646-4CAA-B04E-EB211059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94364" y="3178590"/>
          <a:ext cx="1129334" cy="108584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112784</xdr:colOff>
      <xdr:row>14</xdr:row>
      <xdr:rowOff>142459</xdr:rowOff>
    </xdr:from>
    <xdr:to>
      <xdr:col>13</xdr:col>
      <xdr:colOff>260075</xdr:colOff>
      <xdr:row>16</xdr:row>
      <xdr:rowOff>227840</xdr:rowOff>
    </xdr:to>
    <xdr:pic>
      <xdr:nvPicPr>
        <xdr:cNvPr id="3" name="Imagine 4">
          <a:extLst>
            <a:ext uri="{FF2B5EF4-FFF2-40B4-BE49-F238E27FC236}">
              <a16:creationId xmlns:a16="http://schemas.microsoft.com/office/drawing/2014/main" id="{24688649-3630-4A37-8321-A13847BF8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2259" y="5076409"/>
          <a:ext cx="918816" cy="69498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114300</xdr:rowOff>
    </xdr:from>
    <xdr:to>
      <xdr:col>2</xdr:col>
      <xdr:colOff>352425</xdr:colOff>
      <xdr:row>0</xdr:row>
      <xdr:rowOff>1543050</xdr:rowOff>
    </xdr:to>
    <xdr:pic>
      <xdr:nvPicPr>
        <xdr:cNvPr id="4" name="Imagine 5">
          <a:extLst>
            <a:ext uri="{FF2B5EF4-FFF2-40B4-BE49-F238E27FC236}">
              <a16:creationId xmlns:a16="http://schemas.microsoft.com/office/drawing/2014/main" id="{6EA91E7D-BCC4-4B5C-977F-07CD30426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4300"/>
          <a:ext cx="15621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57150</xdr:colOff>
      <xdr:row>14</xdr:row>
      <xdr:rowOff>120650</xdr:rowOff>
    </xdr:from>
    <xdr:to>
      <xdr:col>15</xdr:col>
      <xdr:colOff>460007</xdr:colOff>
      <xdr:row>18</xdr:row>
      <xdr:rowOff>123825</xdr:rowOff>
    </xdr:to>
    <xdr:pic>
      <xdr:nvPicPr>
        <xdr:cNvPr id="5" name="Imagine 6">
          <a:extLst>
            <a:ext uri="{FF2B5EF4-FFF2-40B4-BE49-F238E27FC236}">
              <a16:creationId xmlns:a16="http://schemas.microsoft.com/office/drawing/2014/main" id="{B92BE5BA-3F0E-4B8D-BA34-FF9D5A29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68150" y="5054600"/>
          <a:ext cx="2003057" cy="1146175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422</xdr:row>
      <xdr:rowOff>44450</xdr:rowOff>
    </xdr:from>
    <xdr:to>
      <xdr:col>18</xdr:col>
      <xdr:colOff>498474</xdr:colOff>
      <xdr:row>433</xdr:row>
      <xdr:rowOff>152752</xdr:rowOff>
    </xdr:to>
    <xdr:pic>
      <xdr:nvPicPr>
        <xdr:cNvPr id="6" name="Imagine 7">
          <a:extLst>
            <a:ext uri="{FF2B5EF4-FFF2-40B4-BE49-F238E27FC236}">
              <a16:creationId xmlns:a16="http://schemas.microsoft.com/office/drawing/2014/main" id="{62D5BC4A-EC9C-4B76-B9D7-3BB1BE301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3025" y="98971100"/>
          <a:ext cx="3317874" cy="2222852"/>
        </a:xfrm>
        <a:prstGeom prst="rect">
          <a:avLst/>
        </a:prstGeom>
      </xdr:spPr>
    </xdr:pic>
    <xdr:clientData/>
  </xdr:twoCellAnchor>
  <xdr:twoCellAnchor editAs="oneCell">
    <xdr:from>
      <xdr:col>15</xdr:col>
      <xdr:colOff>596902</xdr:colOff>
      <xdr:row>24</xdr:row>
      <xdr:rowOff>25400</xdr:rowOff>
    </xdr:from>
    <xdr:to>
      <xdr:col>16</xdr:col>
      <xdr:colOff>655130</xdr:colOff>
      <xdr:row>26</xdr:row>
      <xdr:rowOff>155573</xdr:rowOff>
    </xdr:to>
    <xdr:pic>
      <xdr:nvPicPr>
        <xdr:cNvPr id="7" name="Imagine 9">
          <a:extLst>
            <a:ext uri="{FF2B5EF4-FFF2-40B4-BE49-F238E27FC236}">
              <a16:creationId xmlns:a16="http://schemas.microsoft.com/office/drawing/2014/main" id="{07E8817C-D949-41EE-84D2-49BCC74EA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205107">
          <a:off x="14008102" y="7245350"/>
          <a:ext cx="696403" cy="530223"/>
        </a:xfrm>
        <a:prstGeom prst="rect">
          <a:avLst/>
        </a:prstGeom>
      </xdr:spPr>
    </xdr:pic>
    <xdr:clientData/>
  </xdr:twoCellAnchor>
  <xdr:twoCellAnchor editAs="oneCell">
    <xdr:from>
      <xdr:col>15</xdr:col>
      <xdr:colOff>263526</xdr:colOff>
      <xdr:row>14</xdr:row>
      <xdr:rowOff>28576</xdr:rowOff>
    </xdr:from>
    <xdr:to>
      <xdr:col>16</xdr:col>
      <xdr:colOff>706088</xdr:colOff>
      <xdr:row>16</xdr:row>
      <xdr:rowOff>135560</xdr:rowOff>
    </xdr:to>
    <xdr:pic>
      <xdr:nvPicPr>
        <xdr:cNvPr id="8" name="Imagine 10">
          <a:extLst>
            <a:ext uri="{FF2B5EF4-FFF2-40B4-BE49-F238E27FC236}">
              <a16:creationId xmlns:a16="http://schemas.microsoft.com/office/drawing/2014/main" id="{56E33CAC-3C3C-4035-AF44-36567174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74726" y="4962526"/>
          <a:ext cx="1080737" cy="716584"/>
        </a:xfrm>
        <a:prstGeom prst="rect">
          <a:avLst/>
        </a:prstGeom>
      </xdr:spPr>
    </xdr:pic>
    <xdr:clientData/>
  </xdr:twoCellAnchor>
  <xdr:twoCellAnchor editAs="oneCell">
    <xdr:from>
      <xdr:col>13</xdr:col>
      <xdr:colOff>792529</xdr:colOff>
      <xdr:row>19</xdr:row>
      <xdr:rowOff>190500</xdr:rowOff>
    </xdr:from>
    <xdr:to>
      <xdr:col>15</xdr:col>
      <xdr:colOff>96264</xdr:colOff>
      <xdr:row>27</xdr:row>
      <xdr:rowOff>0</xdr:rowOff>
    </xdr:to>
    <xdr:pic>
      <xdr:nvPicPr>
        <xdr:cNvPr id="9" name="Imagine 11">
          <a:extLst>
            <a:ext uri="{FF2B5EF4-FFF2-40B4-BE49-F238E27FC236}">
              <a16:creationId xmlns:a16="http://schemas.microsoft.com/office/drawing/2014/main" id="{13C7D95E-9918-4EAE-B090-CF41CF0C1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603529" y="6410325"/>
          <a:ext cx="903935" cy="14065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200025</xdr:rowOff>
    </xdr:from>
    <xdr:to>
      <xdr:col>11</xdr:col>
      <xdr:colOff>587375</xdr:colOff>
      <xdr:row>16</xdr:row>
      <xdr:rowOff>180974</xdr:rowOff>
    </xdr:to>
    <xdr:pic>
      <xdr:nvPicPr>
        <xdr:cNvPr id="10" name="Imagine 12">
          <a:extLst>
            <a:ext uri="{FF2B5EF4-FFF2-40B4-BE49-F238E27FC236}">
              <a16:creationId xmlns:a16="http://schemas.microsoft.com/office/drawing/2014/main" id="{F51A9A05-5D06-410F-BA7B-75F8A5C51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153110" y="5133975"/>
          <a:ext cx="1895475" cy="590549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17</xdr:row>
      <xdr:rowOff>146049</xdr:rowOff>
    </xdr:from>
    <xdr:to>
      <xdr:col>12</xdr:col>
      <xdr:colOff>231679</xdr:colOff>
      <xdr:row>23</xdr:row>
      <xdr:rowOff>161924</xdr:rowOff>
    </xdr:to>
    <xdr:pic>
      <xdr:nvPicPr>
        <xdr:cNvPr id="11" name="Picture 3" descr="ALU-Foil-Mat - afb. 1">
          <a:extLst>
            <a:ext uri="{FF2B5EF4-FFF2-40B4-BE49-F238E27FC236}">
              <a16:creationId xmlns:a16="http://schemas.microsoft.com/office/drawing/2014/main" id="{59E893EA-F9A1-464A-B53E-4D864393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315575" y="5965824"/>
          <a:ext cx="2260504" cy="12192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619125</xdr:colOff>
      <xdr:row>415</xdr:row>
      <xdr:rowOff>215900</xdr:rowOff>
    </xdr:from>
    <xdr:to>
      <xdr:col>13</xdr:col>
      <xdr:colOff>903264</xdr:colOff>
      <xdr:row>423</xdr:row>
      <xdr:rowOff>38100</xdr:rowOff>
    </xdr:to>
    <xdr:pic>
      <xdr:nvPicPr>
        <xdr:cNvPr id="12" name="Picture 4" descr="ALU-Foil-Mat - afb. 5">
          <a:extLst>
            <a:ext uri="{FF2B5EF4-FFF2-40B4-BE49-F238E27FC236}">
              <a16:creationId xmlns:a16="http://schemas.microsoft.com/office/drawing/2014/main" id="{66162EF2-9A88-411D-8475-AA2C01223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420225" y="97485200"/>
          <a:ext cx="3198789" cy="14414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408678</xdr:colOff>
      <xdr:row>412</xdr:row>
      <xdr:rowOff>101600</xdr:rowOff>
    </xdr:from>
    <xdr:to>
      <xdr:col>18</xdr:col>
      <xdr:colOff>549276</xdr:colOff>
      <xdr:row>423</xdr:row>
      <xdr:rowOff>1671</xdr:rowOff>
    </xdr:to>
    <xdr:pic>
      <xdr:nvPicPr>
        <xdr:cNvPr id="13" name="Imagine 15">
          <a:extLst>
            <a:ext uri="{FF2B5EF4-FFF2-40B4-BE49-F238E27FC236}">
              <a16:creationId xmlns:a16="http://schemas.microsoft.com/office/drawing/2014/main" id="{38349C7F-A8C0-4558-A6BC-E05523E5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2653" y="96694625"/>
          <a:ext cx="2979048" cy="2100346"/>
        </a:xfrm>
        <a:prstGeom prst="rect">
          <a:avLst/>
        </a:prstGeom>
      </xdr:spPr>
    </xdr:pic>
    <xdr:clientData/>
  </xdr:twoCellAnchor>
  <xdr:oneCellAnchor>
    <xdr:from>
      <xdr:col>12</xdr:col>
      <xdr:colOff>142875</xdr:colOff>
      <xdr:row>20</xdr:row>
      <xdr:rowOff>123825</xdr:rowOff>
    </xdr:from>
    <xdr:ext cx="1394356" cy="1228726"/>
    <xdr:pic>
      <xdr:nvPicPr>
        <xdr:cNvPr id="14" name="Picture 27" descr="Imagini pentru magnum underfloor heating mat">
          <a:extLst>
            <a:ext uri="{FF2B5EF4-FFF2-40B4-BE49-F238E27FC236}">
              <a16:creationId xmlns:a16="http://schemas.microsoft.com/office/drawing/2014/main" id="{C3764660-138C-457D-9D67-8A834B91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6543675"/>
          <a:ext cx="1394356" cy="1228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95249</xdr:colOff>
      <xdr:row>421</xdr:row>
      <xdr:rowOff>215900</xdr:rowOff>
    </xdr:from>
    <xdr:to>
      <xdr:col>13</xdr:col>
      <xdr:colOff>314325</xdr:colOff>
      <xdr:row>437</xdr:row>
      <xdr:rowOff>114463</xdr:rowOff>
    </xdr:to>
    <xdr:pic>
      <xdr:nvPicPr>
        <xdr:cNvPr id="15" name="Imagine 18">
          <a:extLst>
            <a:ext uri="{FF2B5EF4-FFF2-40B4-BE49-F238E27FC236}">
              <a16:creationId xmlns:a16="http://schemas.microsoft.com/office/drawing/2014/main" id="{0CF2A855-627D-462B-9065-8D560DC37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49" y="98923475"/>
          <a:ext cx="3133726" cy="2917988"/>
        </a:xfrm>
        <a:prstGeom prst="rect">
          <a:avLst/>
        </a:prstGeom>
      </xdr:spPr>
    </xdr:pic>
    <xdr:clientData/>
  </xdr:twoCellAnchor>
  <xdr:twoCellAnchor editAs="oneCell">
    <xdr:from>
      <xdr:col>16</xdr:col>
      <xdr:colOff>144670</xdr:colOff>
      <xdr:row>15</xdr:row>
      <xdr:rowOff>114990</xdr:rowOff>
    </xdr:from>
    <xdr:to>
      <xdr:col>18</xdr:col>
      <xdr:colOff>401846</xdr:colOff>
      <xdr:row>20</xdr:row>
      <xdr:rowOff>74008</xdr:rowOff>
    </xdr:to>
    <xdr:pic>
      <xdr:nvPicPr>
        <xdr:cNvPr id="16" name="Imagine 20">
          <a:extLst>
            <a:ext uri="{FF2B5EF4-FFF2-40B4-BE49-F238E27FC236}">
              <a16:creationId xmlns:a16="http://schemas.microsoft.com/office/drawing/2014/main" id="{60A72236-13FA-4B20-A60E-DD0CD41E8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194045" y="5325165"/>
          <a:ext cx="1895476" cy="1225843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20</xdr:row>
      <xdr:rowOff>6350</xdr:rowOff>
    </xdr:from>
    <xdr:to>
      <xdr:col>17</xdr:col>
      <xdr:colOff>254000</xdr:colOff>
      <xdr:row>24</xdr:row>
      <xdr:rowOff>38100</xdr:rowOff>
    </xdr:to>
    <xdr:pic>
      <xdr:nvPicPr>
        <xdr:cNvPr id="17" name="Imagine 21">
          <a:extLst>
            <a:ext uri="{FF2B5EF4-FFF2-40B4-BE49-F238E27FC236}">
              <a16:creationId xmlns:a16="http://schemas.microsoft.com/office/drawing/2014/main" id="{5C4D8A95-E5D2-4B24-99C7-31E4C6F9E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550900" y="6426200"/>
          <a:ext cx="1619250" cy="8318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</xdr:row>
      <xdr:rowOff>68470</xdr:rowOff>
    </xdr:from>
    <xdr:to>
      <xdr:col>10</xdr:col>
      <xdr:colOff>162338</xdr:colOff>
      <xdr:row>12</xdr:row>
      <xdr:rowOff>2346</xdr:rowOff>
    </xdr:to>
    <xdr:pic>
      <xdr:nvPicPr>
        <xdr:cNvPr id="18" name="Imagine 22">
          <a:extLst>
            <a:ext uri="{FF2B5EF4-FFF2-40B4-BE49-F238E27FC236}">
              <a16:creationId xmlns:a16="http://schemas.microsoft.com/office/drawing/2014/main" id="{99698AB2-43F3-4381-8207-92D4A87EC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766036" y="3605144"/>
          <a:ext cx="796510" cy="8144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51</xdr:row>
      <xdr:rowOff>190500</xdr:rowOff>
    </xdr:from>
    <xdr:to>
      <xdr:col>11</xdr:col>
      <xdr:colOff>130175</xdr:colOff>
      <xdr:row>55</xdr:row>
      <xdr:rowOff>123825</xdr:rowOff>
    </xdr:to>
    <xdr:pic>
      <xdr:nvPicPr>
        <xdr:cNvPr id="19" name="Picture 24">
          <a:extLst>
            <a:ext uri="{FF2B5EF4-FFF2-40B4-BE49-F238E27FC236}">
              <a16:creationId xmlns:a16="http://schemas.microsoft.com/office/drawing/2014/main" id="{BAB4E258-EB7D-4F6D-AE5F-0474B8C75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8912225" y="12782550"/>
          <a:ext cx="1438275" cy="7207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177800</xdr:colOff>
      <xdr:row>52</xdr:row>
      <xdr:rowOff>6350</xdr:rowOff>
    </xdr:from>
    <xdr:to>
      <xdr:col>13</xdr:col>
      <xdr:colOff>120650</xdr:colOff>
      <xdr:row>56</xdr:row>
      <xdr:rowOff>6351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5DA260EC-5462-413A-A75C-AB927384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0493375" y="12798425"/>
          <a:ext cx="1552575" cy="8096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</xdr:row>
      <xdr:rowOff>133350</xdr:rowOff>
    </xdr:from>
    <xdr:to>
      <xdr:col>11</xdr:col>
      <xdr:colOff>133547</xdr:colOff>
      <xdr:row>27</xdr:row>
      <xdr:rowOff>158839</xdr:rowOff>
    </xdr:to>
    <xdr:pic>
      <xdr:nvPicPr>
        <xdr:cNvPr id="21" name="Imagine 25">
          <a:extLst>
            <a:ext uri="{FF2B5EF4-FFF2-40B4-BE49-F238E27FC236}">
              <a16:creationId xmlns:a16="http://schemas.microsoft.com/office/drawing/2014/main" id="{9D73AA81-C6BB-4F62-8399-BEA2DFF2F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905875" y="7324725"/>
          <a:ext cx="1438472" cy="62556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27</xdr:row>
      <xdr:rowOff>184150</xdr:rowOff>
    </xdr:from>
    <xdr:to>
      <xdr:col>11</xdr:col>
      <xdr:colOff>323850</xdr:colOff>
      <xdr:row>31</xdr:row>
      <xdr:rowOff>159290</xdr:rowOff>
    </xdr:to>
    <xdr:pic>
      <xdr:nvPicPr>
        <xdr:cNvPr id="22" name="Imagine 26">
          <a:extLst>
            <a:ext uri="{FF2B5EF4-FFF2-40B4-BE49-F238E27FC236}">
              <a16:creationId xmlns:a16="http://schemas.microsoft.com/office/drawing/2014/main" id="{27EEF712-EBD4-4356-AB09-EC7C4BEB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21392666">
          <a:off x="8943975" y="7975600"/>
          <a:ext cx="1625600" cy="784765"/>
        </a:xfrm>
        <a:prstGeom prst="rect">
          <a:avLst/>
        </a:prstGeom>
      </xdr:spPr>
    </xdr:pic>
    <xdr:clientData/>
  </xdr:twoCellAnchor>
  <xdr:twoCellAnchor editAs="oneCell">
    <xdr:from>
      <xdr:col>11</xdr:col>
      <xdr:colOff>259661</xdr:colOff>
      <xdr:row>14</xdr:row>
      <xdr:rowOff>188154</xdr:rowOff>
    </xdr:from>
    <xdr:to>
      <xdr:col>11</xdr:col>
      <xdr:colOff>800654</xdr:colOff>
      <xdr:row>16</xdr:row>
      <xdr:rowOff>134561</xdr:rowOff>
    </xdr:to>
    <xdr:pic>
      <xdr:nvPicPr>
        <xdr:cNvPr id="23" name="Imagine 27">
          <a:extLst>
            <a:ext uri="{FF2B5EF4-FFF2-40B4-BE49-F238E27FC236}">
              <a16:creationId xmlns:a16="http://schemas.microsoft.com/office/drawing/2014/main" id="{989C19CE-DFB7-4CFF-854D-4471E28A3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460936" y="5122104"/>
          <a:ext cx="540993" cy="556007"/>
        </a:xfrm>
        <a:prstGeom prst="rect">
          <a:avLst/>
        </a:prstGeom>
      </xdr:spPr>
    </xdr:pic>
    <xdr:clientData/>
  </xdr:twoCellAnchor>
  <xdr:twoCellAnchor editAs="oneCell">
    <xdr:from>
      <xdr:col>10</xdr:col>
      <xdr:colOff>70817</xdr:colOff>
      <xdr:row>11</xdr:row>
      <xdr:rowOff>40999</xdr:rowOff>
    </xdr:from>
    <xdr:to>
      <xdr:col>11</xdr:col>
      <xdr:colOff>312239</xdr:colOff>
      <xdr:row>12</xdr:row>
      <xdr:rowOff>19446</xdr:rowOff>
    </xdr:to>
    <xdr:pic>
      <xdr:nvPicPr>
        <xdr:cNvPr id="24" name="Imagine 30">
          <a:extLst>
            <a:ext uri="{FF2B5EF4-FFF2-40B4-BE49-F238E27FC236}">
              <a16:creationId xmlns:a16="http://schemas.microsoft.com/office/drawing/2014/main" id="{A3FE3D7A-0C4F-4CC6-BBE1-D190AE483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95817" y="3577673"/>
          <a:ext cx="909138" cy="859026"/>
        </a:xfrm>
        <a:prstGeom prst="rect">
          <a:avLst/>
        </a:prstGeom>
      </xdr:spPr>
    </xdr:pic>
    <xdr:clientData/>
  </xdr:twoCellAnchor>
  <xdr:twoCellAnchor editAs="oneCell">
    <xdr:from>
      <xdr:col>11</xdr:col>
      <xdr:colOff>305766</xdr:colOff>
      <xdr:row>10</xdr:row>
      <xdr:rowOff>351045</xdr:rowOff>
    </xdr:from>
    <xdr:to>
      <xdr:col>12</xdr:col>
      <xdr:colOff>350747</xdr:colOff>
      <xdr:row>11</xdr:row>
      <xdr:rowOff>868139</xdr:rowOff>
    </xdr:to>
    <xdr:pic>
      <xdr:nvPicPr>
        <xdr:cNvPr id="25" name="Imagine 32">
          <a:extLst>
            <a:ext uri="{FF2B5EF4-FFF2-40B4-BE49-F238E27FC236}">
              <a16:creationId xmlns:a16="http://schemas.microsoft.com/office/drawing/2014/main" id="{40C3BE66-5596-4956-8DB3-4AA9E2F04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501657" y="3531567"/>
          <a:ext cx="878350" cy="871175"/>
        </a:xfrm>
        <a:prstGeom prst="rect">
          <a:avLst/>
        </a:prstGeom>
      </xdr:spPr>
    </xdr:pic>
    <xdr:clientData/>
  </xdr:twoCellAnchor>
  <xdr:twoCellAnchor editAs="oneCell">
    <xdr:from>
      <xdr:col>11</xdr:col>
      <xdr:colOff>647700</xdr:colOff>
      <xdr:row>26</xdr:row>
      <xdr:rowOff>196850</xdr:rowOff>
    </xdr:from>
    <xdr:to>
      <xdr:col>12</xdr:col>
      <xdr:colOff>733423</xdr:colOff>
      <xdr:row>31</xdr:row>
      <xdr:rowOff>105149</xdr:rowOff>
    </xdr:to>
    <xdr:pic>
      <xdr:nvPicPr>
        <xdr:cNvPr id="26" name="Picture 11" descr=" ">
          <a:extLst>
            <a:ext uri="{FF2B5EF4-FFF2-40B4-BE49-F238E27FC236}">
              <a16:creationId xmlns:a16="http://schemas.microsoft.com/office/drawing/2014/main" id="{66B534C7-CE35-4C86-9E33-250A6EE39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963275" y="7788275"/>
          <a:ext cx="923924" cy="908424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</xdr:row>
      <xdr:rowOff>38100</xdr:rowOff>
    </xdr:from>
    <xdr:to>
      <xdr:col>10</xdr:col>
      <xdr:colOff>257175</xdr:colOff>
      <xdr:row>35</xdr:row>
      <xdr:rowOff>122705</xdr:rowOff>
    </xdr:to>
    <xdr:pic>
      <xdr:nvPicPr>
        <xdr:cNvPr id="27" name="Picture 33">
          <a:extLst>
            <a:ext uri="{FF2B5EF4-FFF2-40B4-BE49-F238E27FC236}">
              <a16:creationId xmlns:a16="http://schemas.microsoft.com/office/drawing/2014/main" id="{B7011E3F-E67E-4DA2-821A-5E0500DC8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934450" y="9029700"/>
          <a:ext cx="882650" cy="48465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495300</xdr:colOff>
      <xdr:row>28</xdr:row>
      <xdr:rowOff>111125</xdr:rowOff>
    </xdr:from>
    <xdr:to>
      <xdr:col>20</xdr:col>
      <xdr:colOff>139701</xdr:colOff>
      <xdr:row>32</xdr:row>
      <xdr:rowOff>64434</xdr:rowOff>
    </xdr:to>
    <xdr:pic>
      <xdr:nvPicPr>
        <xdr:cNvPr id="28" name="Picture 18">
          <a:extLst>
            <a:ext uri="{FF2B5EF4-FFF2-40B4-BE49-F238E27FC236}">
              <a16:creationId xmlns:a16="http://schemas.microsoft.com/office/drawing/2014/main" id="{322706E6-CD5D-4F6C-A26D-241E17FD8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5411450" y="8131175"/>
          <a:ext cx="1730376" cy="75340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263525</xdr:colOff>
      <xdr:row>32</xdr:row>
      <xdr:rowOff>63500</xdr:rowOff>
    </xdr:from>
    <xdr:to>
      <xdr:col>11</xdr:col>
      <xdr:colOff>565149</xdr:colOff>
      <xdr:row>35</xdr:row>
      <xdr:rowOff>141523</xdr:rowOff>
    </xdr:to>
    <xdr:pic>
      <xdr:nvPicPr>
        <xdr:cNvPr id="30" name="Picture 2" descr="spacer">
          <a:extLst>
            <a:ext uri="{FF2B5EF4-FFF2-40B4-BE49-F238E27FC236}">
              <a16:creationId xmlns:a16="http://schemas.microsoft.com/office/drawing/2014/main" id="{54CC76A9-13AE-4747-9B3C-6A86EE55D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9912350" y="8855075"/>
          <a:ext cx="968374" cy="678098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11</xdr:col>
      <xdr:colOff>314325</xdr:colOff>
      <xdr:row>40</xdr:row>
      <xdr:rowOff>11701</xdr:rowOff>
    </xdr:to>
    <xdr:pic>
      <xdr:nvPicPr>
        <xdr:cNvPr id="31" name="Picture 19" descr="MAGNUM Heatboard (E)">
          <a:extLst>
            <a:ext uri="{FF2B5EF4-FFF2-40B4-BE49-F238E27FC236}">
              <a16:creationId xmlns:a16="http://schemas.microsoft.com/office/drawing/2014/main" id="{CF53C858-A2B7-4E22-9E54-347901712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9591675"/>
          <a:ext cx="1616075" cy="791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758825</xdr:colOff>
      <xdr:row>31</xdr:row>
      <xdr:rowOff>133350</xdr:rowOff>
    </xdr:from>
    <xdr:to>
      <xdr:col>13</xdr:col>
      <xdr:colOff>791036</xdr:colOff>
      <xdr:row>36</xdr:row>
      <xdr:rowOff>67608</xdr:rowOff>
    </xdr:to>
    <xdr:pic>
      <xdr:nvPicPr>
        <xdr:cNvPr id="32" name="Picture 20" descr="MAGNUM Heatboard (E)">
          <a:extLst>
            <a:ext uri="{FF2B5EF4-FFF2-40B4-BE49-F238E27FC236}">
              <a16:creationId xmlns:a16="http://schemas.microsoft.com/office/drawing/2014/main" id="{176C982B-19D4-4005-A2A9-780C9F6FC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4400" y="8724900"/>
          <a:ext cx="1641936" cy="924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158750</xdr:colOff>
      <xdr:row>22</xdr:row>
      <xdr:rowOff>161925</xdr:rowOff>
    </xdr:from>
    <xdr:to>
      <xdr:col>19</xdr:col>
      <xdr:colOff>170181</xdr:colOff>
      <xdr:row>27</xdr:row>
      <xdr:rowOff>180788</xdr:rowOff>
    </xdr:to>
    <xdr:pic>
      <xdr:nvPicPr>
        <xdr:cNvPr id="33" name="Picture 4" descr="MAGNUM Cablu degivrare exterior">
          <a:extLst>
            <a:ext uri="{FF2B5EF4-FFF2-40B4-BE49-F238E27FC236}">
              <a16:creationId xmlns:a16="http://schemas.microsoft.com/office/drawing/2014/main" id="{7401298B-9BC7-4038-96B5-2181758CD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074900" y="6981825"/>
          <a:ext cx="1421131" cy="1018988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495300</xdr:colOff>
      <xdr:row>27</xdr:row>
      <xdr:rowOff>82550</xdr:rowOff>
    </xdr:from>
    <xdr:to>
      <xdr:col>17</xdr:col>
      <xdr:colOff>714374</xdr:colOff>
      <xdr:row>31</xdr:row>
      <xdr:rowOff>178098</xdr:rowOff>
    </xdr:to>
    <xdr:pic>
      <xdr:nvPicPr>
        <xdr:cNvPr id="34" name="Picture 21">
          <a:extLst>
            <a:ext uri="{FF2B5EF4-FFF2-40B4-BE49-F238E27FC236}">
              <a16:creationId xmlns:a16="http://schemas.microsoft.com/office/drawing/2014/main" id="{C99565F9-42C0-4BBE-9970-36D4C2F0B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4020800" y="7874000"/>
          <a:ext cx="1724024" cy="898823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266700</xdr:colOff>
      <xdr:row>26</xdr:row>
      <xdr:rowOff>95250</xdr:rowOff>
    </xdr:from>
    <xdr:to>
      <xdr:col>15</xdr:col>
      <xdr:colOff>438150</xdr:colOff>
      <xdr:row>34</xdr:row>
      <xdr:rowOff>16061</xdr:rowOff>
    </xdr:to>
    <xdr:pic>
      <xdr:nvPicPr>
        <xdr:cNvPr id="35" name="Picture 3">
          <a:extLst>
            <a:ext uri="{FF2B5EF4-FFF2-40B4-BE49-F238E27FC236}">
              <a16:creationId xmlns:a16="http://schemas.microsoft.com/office/drawing/2014/main" id="{74DB681B-0BF0-4D0E-A565-BE971273A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2192000" y="7686675"/>
          <a:ext cx="1771651" cy="1524187"/>
        </a:xfrm>
        <a:prstGeom prst="rect">
          <a:avLst/>
        </a:prstGeom>
      </xdr:spPr>
    </xdr:pic>
    <xdr:clientData/>
  </xdr:twoCellAnchor>
  <xdr:twoCellAnchor editAs="oneCell">
    <xdr:from>
      <xdr:col>10</xdr:col>
      <xdr:colOff>463550</xdr:colOff>
      <xdr:row>35</xdr:row>
      <xdr:rowOff>177800</xdr:rowOff>
    </xdr:from>
    <xdr:to>
      <xdr:col>12</xdr:col>
      <xdr:colOff>342899</xdr:colOff>
      <xdr:row>41</xdr:row>
      <xdr:rowOff>179924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4C76D30-FC82-489C-B8D7-451516A46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2375" y="9569450"/>
          <a:ext cx="1384300" cy="1195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406400</xdr:colOff>
      <xdr:row>35</xdr:row>
      <xdr:rowOff>114300</xdr:rowOff>
    </xdr:from>
    <xdr:to>
      <xdr:col>14</xdr:col>
      <xdr:colOff>454025</xdr:colOff>
      <xdr:row>41</xdr:row>
      <xdr:rowOff>164436</xdr:rowOff>
    </xdr:to>
    <xdr:pic>
      <xdr:nvPicPr>
        <xdr:cNvPr id="36" name="Imagine 16">
          <a:extLst>
            <a:ext uri="{FF2B5EF4-FFF2-40B4-BE49-F238E27FC236}">
              <a16:creationId xmlns:a16="http://schemas.microsoft.com/office/drawing/2014/main" id="{9C5EDE8C-9712-4389-9F8E-B2AB25267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331700" y="9505950"/>
          <a:ext cx="1085850" cy="1259811"/>
        </a:xfrm>
        <a:prstGeom prst="rect">
          <a:avLst/>
        </a:prstGeom>
      </xdr:spPr>
    </xdr:pic>
    <xdr:clientData/>
  </xdr:twoCellAnchor>
  <xdr:twoCellAnchor editAs="oneCell">
    <xdr:from>
      <xdr:col>14</xdr:col>
      <xdr:colOff>533400</xdr:colOff>
      <xdr:row>32</xdr:row>
      <xdr:rowOff>114300</xdr:rowOff>
    </xdr:from>
    <xdr:to>
      <xdr:col>17</xdr:col>
      <xdr:colOff>241299</xdr:colOff>
      <xdr:row>39</xdr:row>
      <xdr:rowOff>35378</xdr:rowOff>
    </xdr:to>
    <xdr:pic>
      <xdr:nvPicPr>
        <xdr:cNvPr id="37" name="Imagine 15">
          <a:extLst>
            <a:ext uri="{FF2B5EF4-FFF2-40B4-BE49-F238E27FC236}">
              <a16:creationId xmlns:a16="http://schemas.microsoft.com/office/drawing/2014/main" id="{153D2A0E-09D7-4621-BEE2-AF0A3C3A1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496925" y="8905875"/>
          <a:ext cx="1768475" cy="1314904"/>
        </a:xfrm>
        <a:prstGeom prst="rect">
          <a:avLst/>
        </a:prstGeom>
      </xdr:spPr>
    </xdr:pic>
    <xdr:clientData/>
  </xdr:twoCellAnchor>
  <xdr:twoCellAnchor editAs="oneCell">
    <xdr:from>
      <xdr:col>17</xdr:col>
      <xdr:colOff>485775</xdr:colOff>
      <xdr:row>32</xdr:row>
      <xdr:rowOff>9525</xdr:rowOff>
    </xdr:from>
    <xdr:to>
      <xdr:col>19</xdr:col>
      <xdr:colOff>601245</xdr:colOff>
      <xdr:row>39</xdr:row>
      <xdr:rowOff>104775</xdr:rowOff>
    </xdr:to>
    <xdr:pic>
      <xdr:nvPicPr>
        <xdr:cNvPr id="38" name="Imagine 8">
          <a:extLst>
            <a:ext uri="{FF2B5EF4-FFF2-40B4-BE49-F238E27FC236}">
              <a16:creationId xmlns:a16="http://schemas.microsoft.com/office/drawing/2014/main" id="{12B789CF-A392-4CB6-8C91-4B6C38EF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8801100"/>
          <a:ext cx="1525169" cy="1501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10</xdr:col>
      <xdr:colOff>656664</xdr:colOff>
      <xdr:row>45</xdr:row>
      <xdr:rowOff>25400</xdr:rowOff>
    </xdr:to>
    <xdr:pic>
      <xdr:nvPicPr>
        <xdr:cNvPr id="40" name="Imagine 18">
          <a:extLst>
            <a:ext uri="{FF2B5EF4-FFF2-40B4-BE49-F238E27FC236}">
              <a16:creationId xmlns:a16="http://schemas.microsoft.com/office/drawing/2014/main" id="{889EDBE5-49BB-4A78-B988-CFB14D14C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010650" y="10591800"/>
          <a:ext cx="1294839" cy="835025"/>
        </a:xfrm>
        <a:prstGeom prst="rect">
          <a:avLst/>
        </a:prstGeom>
      </xdr:spPr>
    </xdr:pic>
    <xdr:clientData/>
  </xdr:twoCellAnchor>
  <xdr:twoCellAnchor editAs="oneCell">
    <xdr:from>
      <xdr:col>14</xdr:col>
      <xdr:colOff>323850</xdr:colOff>
      <xdr:row>41</xdr:row>
      <xdr:rowOff>95250</xdr:rowOff>
    </xdr:from>
    <xdr:to>
      <xdr:col>16</xdr:col>
      <xdr:colOff>479046</xdr:colOff>
      <xdr:row>47</xdr:row>
      <xdr:rowOff>7844</xdr:rowOff>
    </xdr:to>
    <xdr:pic>
      <xdr:nvPicPr>
        <xdr:cNvPr id="41" name="Imagine 9">
          <a:extLst>
            <a:ext uri="{FF2B5EF4-FFF2-40B4-BE49-F238E27FC236}">
              <a16:creationId xmlns:a16="http://schemas.microsoft.com/office/drawing/2014/main" id="{EB7595D9-A11B-4178-A222-8D00C5002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3287375" y="10687050"/>
          <a:ext cx="1355347" cy="1115920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457200</xdr:colOff>
      <xdr:row>41</xdr:row>
      <xdr:rowOff>180975</xdr:rowOff>
    </xdr:from>
    <xdr:to>
      <xdr:col>14</xdr:col>
      <xdr:colOff>92076</xdr:colOff>
      <xdr:row>46</xdr:row>
      <xdr:rowOff>160158</xdr:rowOff>
    </xdr:to>
    <xdr:pic>
      <xdr:nvPicPr>
        <xdr:cNvPr id="42" name="Picture 9">
          <a:extLst>
            <a:ext uri="{FF2B5EF4-FFF2-40B4-BE49-F238E27FC236}">
              <a16:creationId xmlns:a16="http://schemas.microsoft.com/office/drawing/2014/main" id="{D730A634-E102-4B51-A1F9-E8844C35B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610975" y="10772775"/>
          <a:ext cx="1444625" cy="979308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41</xdr:row>
      <xdr:rowOff>9525</xdr:rowOff>
    </xdr:from>
    <xdr:to>
      <xdr:col>12</xdr:col>
      <xdr:colOff>402341</xdr:colOff>
      <xdr:row>46</xdr:row>
      <xdr:rowOff>101600</xdr:rowOff>
    </xdr:to>
    <xdr:pic>
      <xdr:nvPicPr>
        <xdr:cNvPr id="43" name="Imagine 14">
          <a:extLst>
            <a:ext uri="{FF2B5EF4-FFF2-40B4-BE49-F238E27FC236}">
              <a16:creationId xmlns:a16="http://schemas.microsoft.com/office/drawing/2014/main" id="{0738D558-2AB7-47B2-952D-B797809BA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458450" y="10601325"/>
          <a:ext cx="1097667" cy="1092200"/>
        </a:xfrm>
        <a:prstGeom prst="rect">
          <a:avLst/>
        </a:prstGeom>
      </xdr:spPr>
    </xdr:pic>
    <xdr:clientData/>
  </xdr:twoCellAnchor>
  <xdr:twoCellAnchor editAs="oneCell">
    <xdr:from>
      <xdr:col>16</xdr:col>
      <xdr:colOff>495300</xdr:colOff>
      <xdr:row>40</xdr:row>
      <xdr:rowOff>38100</xdr:rowOff>
    </xdr:from>
    <xdr:to>
      <xdr:col>18</xdr:col>
      <xdr:colOff>58003</xdr:colOff>
      <xdr:row>45</xdr:row>
      <xdr:rowOff>28575</xdr:rowOff>
    </xdr:to>
    <xdr:pic>
      <xdr:nvPicPr>
        <xdr:cNvPr id="44" name="Picture 18">
          <a:extLst>
            <a:ext uri="{FF2B5EF4-FFF2-40B4-BE49-F238E27FC236}">
              <a16:creationId xmlns:a16="http://schemas.microsoft.com/office/drawing/2014/main" id="{5137E490-CC44-43FB-A4E2-656546F20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658975" y="10429875"/>
          <a:ext cx="1201002" cy="9779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123825</xdr:colOff>
      <xdr:row>40</xdr:row>
      <xdr:rowOff>130175</xdr:rowOff>
    </xdr:from>
    <xdr:to>
      <xdr:col>20</xdr:col>
      <xdr:colOff>161925</xdr:colOff>
      <xdr:row>45</xdr:row>
      <xdr:rowOff>141538</xdr:rowOff>
    </xdr:to>
    <xdr:pic>
      <xdr:nvPicPr>
        <xdr:cNvPr id="45" name="Picture 3">
          <a:extLst>
            <a:ext uri="{FF2B5EF4-FFF2-40B4-BE49-F238E27FC236}">
              <a16:creationId xmlns:a16="http://schemas.microsoft.com/office/drawing/2014/main" id="{98B9B197-BBE7-443A-BDD5-622BF51B2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811500" y="10550525"/>
          <a:ext cx="1352550" cy="1024188"/>
        </a:xfrm>
        <a:prstGeom prst="rect">
          <a:avLst/>
        </a:prstGeom>
      </xdr:spPr>
    </xdr:pic>
    <xdr:clientData/>
  </xdr:twoCellAnchor>
  <xdr:twoCellAnchor editAs="oneCell">
    <xdr:from>
      <xdr:col>16</xdr:col>
      <xdr:colOff>425450</xdr:colOff>
      <xdr:row>45</xdr:row>
      <xdr:rowOff>168275</xdr:rowOff>
    </xdr:from>
    <xdr:to>
      <xdr:col>17</xdr:col>
      <xdr:colOff>665691</xdr:colOff>
      <xdr:row>49</xdr:row>
      <xdr:rowOff>187325</xdr:rowOff>
    </xdr:to>
    <xdr:pic>
      <xdr:nvPicPr>
        <xdr:cNvPr id="49" name="Imagine 13">
          <a:extLst>
            <a:ext uri="{FF2B5EF4-FFF2-40B4-BE49-F238E27FC236}">
              <a16:creationId xmlns:a16="http://schemas.microsoft.com/office/drawing/2014/main" id="{BDC081AE-9C90-4876-A334-9C74DC8A0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4589125" y="11560175"/>
          <a:ext cx="1107016" cy="8001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47</xdr:row>
      <xdr:rowOff>47625</xdr:rowOff>
    </xdr:from>
    <xdr:to>
      <xdr:col>14</xdr:col>
      <xdr:colOff>57152</xdr:colOff>
      <xdr:row>51</xdr:row>
      <xdr:rowOff>44451</xdr:rowOff>
    </xdr:to>
    <xdr:pic>
      <xdr:nvPicPr>
        <xdr:cNvPr id="50" name="Picture 21">
          <a:extLst>
            <a:ext uri="{FF2B5EF4-FFF2-40B4-BE49-F238E27FC236}">
              <a16:creationId xmlns:a16="http://schemas.microsoft.com/office/drawing/2014/main" id="{B147D1C9-6471-49A2-A342-45FA0EB6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639550" y="11839575"/>
          <a:ext cx="1381126" cy="811481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200025</xdr:colOff>
      <xdr:row>47</xdr:row>
      <xdr:rowOff>85725</xdr:rowOff>
    </xdr:from>
    <xdr:to>
      <xdr:col>16</xdr:col>
      <xdr:colOff>295274</xdr:colOff>
      <xdr:row>51</xdr:row>
      <xdr:rowOff>63501</xdr:rowOff>
    </xdr:to>
    <xdr:pic>
      <xdr:nvPicPr>
        <xdr:cNvPr id="52" name="Imagine 11" descr="plyta systemowa kr50 1g">
          <a:extLst>
            <a:ext uri="{FF2B5EF4-FFF2-40B4-BE49-F238E27FC236}">
              <a16:creationId xmlns:a16="http://schemas.microsoft.com/office/drawing/2014/main" id="{7A835448-FFE7-4F52-AE68-18B84E0D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1877675"/>
          <a:ext cx="1295400" cy="77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371475</xdr:colOff>
      <xdr:row>35</xdr:row>
      <xdr:rowOff>171450</xdr:rowOff>
    </xdr:from>
    <xdr:to>
      <xdr:col>13</xdr:col>
      <xdr:colOff>331921</xdr:colOff>
      <xdr:row>38</xdr:row>
      <xdr:rowOff>66675</xdr:rowOff>
    </xdr:to>
    <xdr:pic>
      <xdr:nvPicPr>
        <xdr:cNvPr id="53" name="Imagine 10">
          <a:extLst>
            <a:ext uri="{FF2B5EF4-FFF2-40B4-BE49-F238E27FC236}">
              <a16:creationId xmlns:a16="http://schemas.microsoft.com/office/drawing/2014/main" id="{56B78587-3BB3-4F82-9748-D051EF420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525250" y="9563100"/>
          <a:ext cx="731970" cy="482600"/>
        </a:xfrm>
        <a:prstGeom prst="rect">
          <a:avLst/>
        </a:prstGeom>
      </xdr:spPr>
    </xdr:pic>
    <xdr:clientData/>
  </xdr:twoCellAnchor>
  <xdr:twoCellAnchor editAs="oneCell">
    <xdr:from>
      <xdr:col>12</xdr:col>
      <xdr:colOff>390525</xdr:colOff>
      <xdr:row>38</xdr:row>
      <xdr:rowOff>104775</xdr:rowOff>
    </xdr:from>
    <xdr:to>
      <xdr:col>13</xdr:col>
      <xdr:colOff>323851</xdr:colOff>
      <xdr:row>40</xdr:row>
      <xdr:rowOff>180774</xdr:rowOff>
    </xdr:to>
    <xdr:pic>
      <xdr:nvPicPr>
        <xdr:cNvPr id="54" name="Imagine 9">
          <a:extLst>
            <a:ext uri="{FF2B5EF4-FFF2-40B4-BE49-F238E27FC236}">
              <a16:creationId xmlns:a16="http://schemas.microsoft.com/office/drawing/2014/main" id="{1D628821-F2D5-4504-B052-99199723E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10096500"/>
          <a:ext cx="704850" cy="47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590550</xdr:colOff>
      <xdr:row>46</xdr:row>
      <xdr:rowOff>142875</xdr:rowOff>
    </xdr:from>
    <xdr:to>
      <xdr:col>12</xdr:col>
      <xdr:colOff>355599</xdr:colOff>
      <xdr:row>51</xdr:row>
      <xdr:rowOff>170811</xdr:rowOff>
    </xdr:to>
    <xdr:pic>
      <xdr:nvPicPr>
        <xdr:cNvPr id="55" name="Picture 2" descr="MAGNUM Basic Staal">
          <a:extLst>
            <a:ext uri="{FF2B5EF4-FFF2-40B4-BE49-F238E27FC236}">
              <a16:creationId xmlns:a16="http://schemas.microsoft.com/office/drawing/2014/main" id="{23166E59-9893-403D-8600-02C0D31FA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10125075" y="11763375"/>
          <a:ext cx="1269999" cy="102806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516698</xdr:colOff>
      <xdr:row>11</xdr:row>
      <xdr:rowOff>44589</xdr:rowOff>
    </xdr:from>
    <xdr:to>
      <xdr:col>17</xdr:col>
      <xdr:colOff>76118</xdr:colOff>
      <xdr:row>11</xdr:row>
      <xdr:rowOff>637241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16B513DA-FB18-60E4-5872-EBEB40736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3917959" y="3581263"/>
          <a:ext cx="1066855" cy="590581"/>
        </a:xfrm>
        <a:prstGeom prst="rect">
          <a:avLst/>
        </a:prstGeom>
      </xdr:spPr>
    </xdr:pic>
    <xdr:clientData/>
  </xdr:twoCellAnchor>
  <xdr:twoCellAnchor editAs="oneCell">
    <xdr:from>
      <xdr:col>13</xdr:col>
      <xdr:colOff>836545</xdr:colOff>
      <xdr:row>11</xdr:row>
      <xdr:rowOff>71369</xdr:rowOff>
    </xdr:from>
    <xdr:to>
      <xdr:col>15</xdr:col>
      <xdr:colOff>387410</xdr:colOff>
      <xdr:row>11</xdr:row>
      <xdr:rowOff>778326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19A6A22-2D4E-6F11-10CE-0E1B591B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2639262" y="3608043"/>
          <a:ext cx="1146234" cy="701711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52</xdr:row>
      <xdr:rowOff>47625</xdr:rowOff>
    </xdr:from>
    <xdr:to>
      <xdr:col>15</xdr:col>
      <xdr:colOff>180975</xdr:colOff>
      <xdr:row>57</xdr:row>
      <xdr:rowOff>139735</xdr:rowOff>
    </xdr:to>
    <xdr:pic>
      <xdr:nvPicPr>
        <xdr:cNvPr id="39" name="Imagine 12">
          <a:extLst>
            <a:ext uri="{FF2B5EF4-FFF2-40B4-BE49-F238E27FC236}">
              <a16:creationId xmlns:a16="http://schemas.microsoft.com/office/drawing/2014/main" id="{6A6B0639-0B06-498D-97DE-FBC81C57C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906250" y="12849225"/>
          <a:ext cx="1685925" cy="1085885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51</xdr:row>
      <xdr:rowOff>180975</xdr:rowOff>
    </xdr:from>
    <xdr:to>
      <xdr:col>17</xdr:col>
      <xdr:colOff>260349</xdr:colOff>
      <xdr:row>56</xdr:row>
      <xdr:rowOff>181781</xdr:rowOff>
    </xdr:to>
    <xdr:pic>
      <xdr:nvPicPr>
        <xdr:cNvPr id="48" name="Imagine 16">
          <a:extLst>
            <a:ext uri="{FF2B5EF4-FFF2-40B4-BE49-F238E27FC236}">
              <a16:creationId xmlns:a16="http://schemas.microsoft.com/office/drawing/2014/main" id="{20683048-ECEF-4ADC-B154-0CAC67DF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716000" y="12782550"/>
          <a:ext cx="1460499" cy="1000931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51</xdr:row>
      <xdr:rowOff>76200</xdr:rowOff>
    </xdr:from>
    <xdr:to>
      <xdr:col>19</xdr:col>
      <xdr:colOff>177801</xdr:colOff>
      <xdr:row>56</xdr:row>
      <xdr:rowOff>84602</xdr:rowOff>
    </xdr:to>
    <xdr:pic>
      <xdr:nvPicPr>
        <xdr:cNvPr id="51" name="Imagine 9">
          <a:extLst>
            <a:ext uri="{FF2B5EF4-FFF2-40B4-BE49-F238E27FC236}">
              <a16:creationId xmlns:a16="http://schemas.microsoft.com/office/drawing/2014/main" id="{213A93E1-A61F-420E-B405-E6E8FA0E7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211425" y="12677775"/>
          <a:ext cx="1292226" cy="100852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18</xdr:col>
      <xdr:colOff>342900</xdr:colOff>
      <xdr:row>15</xdr:row>
      <xdr:rowOff>26449</xdr:rowOff>
    </xdr:to>
    <xdr:pic>
      <xdr:nvPicPr>
        <xdr:cNvPr id="56" name="Imagine 8">
          <a:extLst>
            <a:ext uri="{FF2B5EF4-FFF2-40B4-BE49-F238E27FC236}">
              <a16:creationId xmlns:a16="http://schemas.microsoft.com/office/drawing/2014/main" id="{1945EDA9-2209-4D98-A3ED-8F099E06B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4916150" y="3667125"/>
          <a:ext cx="1114425" cy="810674"/>
        </a:xfrm>
        <a:prstGeom prst="rect">
          <a:avLst/>
        </a:prstGeom>
      </xdr:spPr>
    </xdr:pic>
    <xdr:clientData/>
  </xdr:twoCellAnchor>
  <xdr:twoCellAnchor editAs="oneCell">
    <xdr:from>
      <xdr:col>18</xdr:col>
      <xdr:colOff>438150</xdr:colOff>
      <xdr:row>11</xdr:row>
      <xdr:rowOff>800100</xdr:rowOff>
    </xdr:from>
    <xdr:to>
      <xdr:col>20</xdr:col>
      <xdr:colOff>323434</xdr:colOff>
      <xdr:row>16</xdr:row>
      <xdr:rowOff>29655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6A0E06F-EA00-4309-9851-CCFA35F67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6125825" y="4324350"/>
          <a:ext cx="1199734" cy="1229805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28575</xdr:colOff>
      <xdr:row>19</xdr:row>
      <xdr:rowOff>123825</xdr:rowOff>
    </xdr:from>
    <xdr:to>
      <xdr:col>22</xdr:col>
      <xdr:colOff>335788</xdr:colOff>
      <xdr:row>24</xdr:row>
      <xdr:rowOff>84015</xdr:rowOff>
    </xdr:to>
    <xdr:pic>
      <xdr:nvPicPr>
        <xdr:cNvPr id="58" name="Imagine 4">
          <a:extLst>
            <a:ext uri="{FF2B5EF4-FFF2-40B4-BE49-F238E27FC236}">
              <a16:creationId xmlns:a16="http://schemas.microsoft.com/office/drawing/2014/main" id="{9C4AF906-69A9-40E1-8A7E-458DB605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6354425" y="6324600"/>
          <a:ext cx="2297938" cy="953965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95250</xdr:colOff>
      <xdr:row>24</xdr:row>
      <xdr:rowOff>123825</xdr:rowOff>
    </xdr:from>
    <xdr:to>
      <xdr:col>20</xdr:col>
      <xdr:colOff>101600</xdr:colOff>
      <xdr:row>30</xdr:row>
      <xdr:rowOff>47624</xdr:rowOff>
    </xdr:to>
    <xdr:pic>
      <xdr:nvPicPr>
        <xdr:cNvPr id="62" name="Picture 2" descr="https://www.magnumheating.ro/editor/file/190061/ETN4.jpg">
          <a:extLst>
            <a:ext uri="{FF2B5EF4-FFF2-40B4-BE49-F238E27FC236}">
              <a16:creationId xmlns:a16="http://schemas.microsoft.com/office/drawing/2014/main" id="{04DD3711-7007-40C2-8199-FA8555B8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421100" y="7343775"/>
          <a:ext cx="682625" cy="1123949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638175</xdr:colOff>
      <xdr:row>34</xdr:row>
      <xdr:rowOff>180975</xdr:rowOff>
    </xdr:from>
    <xdr:to>
      <xdr:col>20</xdr:col>
      <xdr:colOff>431799</xdr:colOff>
      <xdr:row>39</xdr:row>
      <xdr:rowOff>163991</xdr:rowOff>
    </xdr:to>
    <xdr:pic>
      <xdr:nvPicPr>
        <xdr:cNvPr id="63" name="Imagine 10">
          <a:extLst>
            <a:ext uri="{FF2B5EF4-FFF2-40B4-BE49-F238E27FC236}">
              <a16:creationId xmlns:a16="http://schemas.microsoft.com/office/drawing/2014/main" id="{91486B06-7CC0-4FB5-B5B3-6DD3FEC2E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6964025" y="9401175"/>
          <a:ext cx="469899" cy="98314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21</xdr:col>
      <xdr:colOff>228720</xdr:colOff>
      <xdr:row>26</xdr:row>
      <xdr:rowOff>28635</xdr:rowOff>
    </xdr:to>
    <xdr:pic>
      <xdr:nvPicPr>
        <xdr:cNvPr id="64" name="Imagine 10">
          <a:extLst>
            <a:ext uri="{FF2B5EF4-FFF2-40B4-BE49-F238E27FC236}">
              <a16:creationId xmlns:a16="http://schemas.microsoft.com/office/drawing/2014/main" id="{0F2D20A2-3AD7-4F6F-804A-F198DD342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7002125" y="7200900"/>
          <a:ext cx="904995" cy="428685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571500</xdr:colOff>
      <xdr:row>20</xdr:row>
      <xdr:rowOff>85724</xdr:rowOff>
    </xdr:from>
    <xdr:to>
      <xdr:col>19</xdr:col>
      <xdr:colOff>439759</xdr:colOff>
      <xdr:row>23</xdr:row>
      <xdr:rowOff>97884</xdr:rowOff>
    </xdr:to>
    <xdr:pic>
      <xdr:nvPicPr>
        <xdr:cNvPr id="65" name="Imagine 11">
          <a:extLst>
            <a:ext uri="{FF2B5EF4-FFF2-40B4-BE49-F238E27FC236}">
              <a16:creationId xmlns:a16="http://schemas.microsoft.com/office/drawing/2014/main" id="{C0BC06BE-BDFC-46DB-9C20-C39B2A740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305766">
          <a:off x="15487650" y="6505574"/>
          <a:ext cx="1277959" cy="612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15</xdr:row>
      <xdr:rowOff>257175</xdr:rowOff>
    </xdr:from>
    <xdr:to>
      <xdr:col>21</xdr:col>
      <xdr:colOff>94836</xdr:colOff>
      <xdr:row>17</xdr:row>
      <xdr:rowOff>140987</xdr:rowOff>
    </xdr:to>
    <xdr:pic>
      <xdr:nvPicPr>
        <xdr:cNvPr id="66" name="Picture 30">
          <a:extLst>
            <a:ext uri="{FF2B5EF4-FFF2-40B4-BE49-F238E27FC236}">
              <a16:creationId xmlns:a16="http://schemas.microsoft.com/office/drawing/2014/main" id="{99DF09BA-8678-456C-8678-16EA932C8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17021175" y="5467350"/>
          <a:ext cx="752061" cy="550562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104775</xdr:colOff>
      <xdr:row>12</xdr:row>
      <xdr:rowOff>104775</xdr:rowOff>
    </xdr:from>
    <xdr:to>
      <xdr:col>21</xdr:col>
      <xdr:colOff>342901</xdr:colOff>
      <xdr:row>15</xdr:row>
      <xdr:rowOff>1322</xdr:rowOff>
    </xdr:to>
    <xdr:pic>
      <xdr:nvPicPr>
        <xdr:cNvPr id="67" name="Immagine 28" descr="PHTE3.jpg">
          <a:extLst>
            <a:ext uri="{FF2B5EF4-FFF2-40B4-BE49-F238E27FC236}">
              <a16:creationId xmlns:a16="http://schemas.microsoft.com/office/drawing/2014/main" id="{BF7B0AA7-5CDE-4AE4-A5C2-BF8F2B7FC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 flipH="1">
          <a:off x="17106900" y="4743450"/>
          <a:ext cx="914401" cy="674422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</xdr:row>
      <xdr:rowOff>0</xdr:rowOff>
    </xdr:from>
    <xdr:to>
      <xdr:col>21</xdr:col>
      <xdr:colOff>408555</xdr:colOff>
      <xdr:row>20</xdr:row>
      <xdr:rowOff>144669</xdr:rowOff>
    </xdr:to>
    <xdr:pic>
      <xdr:nvPicPr>
        <xdr:cNvPr id="68" name="Immagine 27" descr="PHTE2.png">
          <a:extLst>
            <a:ext uri="{FF2B5EF4-FFF2-40B4-BE49-F238E27FC236}">
              <a16:creationId xmlns:a16="http://schemas.microsoft.com/office/drawing/2014/main" id="{CD61522C-C868-409A-B760-313537979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7002125" y="6000750"/>
          <a:ext cx="1084830" cy="544719"/>
        </a:xfrm>
        <a:prstGeom prst="rect">
          <a:avLst/>
        </a:prstGeom>
      </xdr:spPr>
    </xdr:pic>
    <xdr:clientData/>
  </xdr:twoCellAnchor>
  <xdr:twoCellAnchor editAs="oneCell">
    <xdr:from>
      <xdr:col>19</xdr:col>
      <xdr:colOff>457200</xdr:colOff>
      <xdr:row>30</xdr:row>
      <xdr:rowOff>38100</xdr:rowOff>
    </xdr:from>
    <xdr:to>
      <xdr:col>21</xdr:col>
      <xdr:colOff>180975</xdr:colOff>
      <xdr:row>35</xdr:row>
      <xdr:rowOff>55957</xdr:rowOff>
    </xdr:to>
    <xdr:pic>
      <xdr:nvPicPr>
        <xdr:cNvPr id="70" name="Imagine 48" descr="terneo sneg + OSA">
          <a:extLst>
            <a:ext uri="{FF2B5EF4-FFF2-40B4-BE49-F238E27FC236}">
              <a16:creationId xmlns:a16="http://schemas.microsoft.com/office/drawing/2014/main" id="{BA3C7146-E2DC-46BC-864B-2D959AA2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3050" y="8439150"/>
          <a:ext cx="1076325" cy="1017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38100</xdr:rowOff>
    </xdr:from>
    <xdr:to>
      <xdr:col>13</xdr:col>
      <xdr:colOff>520701</xdr:colOff>
      <xdr:row>20</xdr:row>
      <xdr:rowOff>45538</xdr:rowOff>
    </xdr:to>
    <xdr:pic>
      <xdr:nvPicPr>
        <xdr:cNvPr id="46" name="Imagine 13">
          <a:extLst>
            <a:ext uri="{FF2B5EF4-FFF2-40B4-BE49-F238E27FC236}">
              <a16:creationId xmlns:a16="http://schemas.microsoft.com/office/drawing/2014/main" id="{8165EB05-A979-4A34-90DF-0B8885E10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1039475" y="5857875"/>
          <a:ext cx="1292226" cy="607513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45</xdr:row>
      <xdr:rowOff>133350</xdr:rowOff>
    </xdr:from>
    <xdr:to>
      <xdr:col>10</xdr:col>
      <xdr:colOff>494391</xdr:colOff>
      <xdr:row>51</xdr:row>
      <xdr:rowOff>66675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946CF218-EB05-4515-834A-B2AAD530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982075" y="11553825"/>
          <a:ext cx="1046841" cy="1133475"/>
        </a:xfrm>
        <a:prstGeom prst="rect">
          <a:avLst/>
        </a:prstGeom>
      </xdr:spPr>
    </xdr:pic>
    <xdr:clientData/>
  </xdr:twoCellAnchor>
  <xdr:twoCellAnchor editAs="oneCell">
    <xdr:from>
      <xdr:col>18</xdr:col>
      <xdr:colOff>333375</xdr:colOff>
      <xdr:row>16</xdr:row>
      <xdr:rowOff>190500</xdr:rowOff>
    </xdr:from>
    <xdr:to>
      <xdr:col>19</xdr:col>
      <xdr:colOff>400989</xdr:colOff>
      <xdr:row>19</xdr:row>
      <xdr:rowOff>95250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11AF88B-FA5D-41C7-AF79-336F6B691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6021050" y="5695950"/>
          <a:ext cx="705789" cy="63817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11</xdr:row>
      <xdr:rowOff>85725</xdr:rowOff>
    </xdr:from>
    <xdr:to>
      <xdr:col>9</xdr:col>
      <xdr:colOff>54108</xdr:colOff>
      <xdr:row>13</xdr:row>
      <xdr:rowOff>6486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DB089FA-76D4-4330-A1D6-E16316A74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848600" y="3609975"/>
          <a:ext cx="949458" cy="981211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57</xdr:row>
      <xdr:rowOff>0</xdr:rowOff>
    </xdr:from>
    <xdr:ext cx="1804496" cy="922020"/>
    <xdr:pic>
      <xdr:nvPicPr>
        <xdr:cNvPr id="74" name="image15.png">
          <a:extLst>
            <a:ext uri="{FF2B5EF4-FFF2-40B4-BE49-F238E27FC236}">
              <a16:creationId xmlns:a16="http://schemas.microsoft.com/office/drawing/2014/main" id="{AB992734-9EAC-4F66-85AC-6E2737DBA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3801725"/>
          <a:ext cx="1804496" cy="92202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59</xdr:row>
      <xdr:rowOff>0</xdr:rowOff>
    </xdr:from>
    <xdr:ext cx="2019300" cy="1105382"/>
    <xdr:pic>
      <xdr:nvPicPr>
        <xdr:cNvPr id="76" name="image14.png">
          <a:extLst>
            <a:ext uri="{FF2B5EF4-FFF2-40B4-BE49-F238E27FC236}">
              <a16:creationId xmlns:a16="http://schemas.microsoft.com/office/drawing/2014/main" id="{BE02744D-515C-4B7B-A813-B451A2F8A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0475" y="14201775"/>
          <a:ext cx="2019300" cy="1105382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60</xdr:row>
      <xdr:rowOff>0</xdr:rowOff>
    </xdr:from>
    <xdr:ext cx="1847850" cy="1190624"/>
    <xdr:grpSp>
      <xdr:nvGrpSpPr>
        <xdr:cNvPr id="84" name="Group 23">
          <a:extLst>
            <a:ext uri="{FF2B5EF4-FFF2-40B4-BE49-F238E27FC236}">
              <a16:creationId xmlns:a16="http://schemas.microsoft.com/office/drawing/2014/main" id="{ED1FEBAE-B81D-4A27-A880-07F0543866AF}"/>
            </a:ext>
          </a:extLst>
        </xdr:cNvPr>
        <xdr:cNvGrpSpPr/>
      </xdr:nvGrpSpPr>
      <xdr:grpSpPr>
        <a:xfrm>
          <a:off x="13706475" y="14411325"/>
          <a:ext cx="1847850" cy="1190624"/>
          <a:chOff x="0" y="0"/>
          <a:chExt cx="1717675" cy="990600"/>
        </a:xfrm>
      </xdr:grpSpPr>
      <xdr:pic>
        <xdr:nvPicPr>
          <xdr:cNvPr id="85" name="image9.png">
            <a:extLst>
              <a:ext uri="{FF2B5EF4-FFF2-40B4-BE49-F238E27FC236}">
                <a16:creationId xmlns:a16="http://schemas.microsoft.com/office/drawing/2014/main" id="{CE2E07C4-DDE8-890E-A31B-77F531AB00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144" y="0"/>
            <a:ext cx="1619996" cy="990003"/>
          </a:xfrm>
          <a:prstGeom prst="rect">
            <a:avLst/>
          </a:prstGeom>
        </xdr:spPr>
      </xdr:pic>
      <xdr:pic>
        <xdr:nvPicPr>
          <xdr:cNvPr id="86" name="image10.png">
            <a:extLst>
              <a:ext uri="{FF2B5EF4-FFF2-40B4-BE49-F238E27FC236}">
                <a16:creationId xmlns:a16="http://schemas.microsoft.com/office/drawing/2014/main" id="{A1BB400F-5F71-860C-88AD-C1ED69E4E9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641" y="98996"/>
            <a:ext cx="612000" cy="459003"/>
          </a:xfrm>
          <a:prstGeom prst="rect">
            <a:avLst/>
          </a:prstGeom>
        </xdr:spPr>
      </xdr:pic>
      <xdr:sp macro="" textlink="">
        <xdr:nvSpPr>
          <xdr:cNvPr id="87" name="Shape 26">
            <a:extLst>
              <a:ext uri="{FF2B5EF4-FFF2-40B4-BE49-F238E27FC236}">
                <a16:creationId xmlns:a16="http://schemas.microsoft.com/office/drawing/2014/main" id="{1602EA61-799A-127B-20F8-0D3DA0FFBE93}"/>
              </a:ext>
            </a:extLst>
          </xdr:cNvPr>
          <xdr:cNvSpPr/>
        </xdr:nvSpPr>
        <xdr:spPr>
          <a:xfrm>
            <a:off x="-10" y="11607"/>
            <a:ext cx="348615" cy="153670"/>
          </a:xfrm>
          <a:custGeom>
            <a:avLst/>
            <a:gdLst/>
            <a:ahLst/>
            <a:cxnLst/>
            <a:rect l="0" t="0" r="0" b="0"/>
            <a:pathLst>
              <a:path w="348615" h="153670">
                <a:moveTo>
                  <a:pt x="275170" y="36131"/>
                </a:moveTo>
                <a:lnTo>
                  <a:pt x="208927" y="36131"/>
                </a:lnTo>
                <a:lnTo>
                  <a:pt x="208927" y="112737"/>
                </a:lnTo>
                <a:lnTo>
                  <a:pt x="230060" y="112737"/>
                </a:lnTo>
                <a:lnTo>
                  <a:pt x="230060" y="89281"/>
                </a:lnTo>
                <a:lnTo>
                  <a:pt x="270827" y="89281"/>
                </a:lnTo>
                <a:lnTo>
                  <a:pt x="270827" y="71297"/>
                </a:lnTo>
                <a:lnTo>
                  <a:pt x="230060" y="71297"/>
                </a:lnTo>
                <a:lnTo>
                  <a:pt x="230060" y="54190"/>
                </a:lnTo>
                <a:lnTo>
                  <a:pt x="275170" y="54190"/>
                </a:lnTo>
                <a:lnTo>
                  <a:pt x="275170" y="36131"/>
                </a:lnTo>
                <a:close/>
              </a:path>
              <a:path w="348615" h="153670">
                <a:moveTo>
                  <a:pt x="307124" y="57086"/>
                </a:moveTo>
                <a:lnTo>
                  <a:pt x="287439" y="57086"/>
                </a:lnTo>
                <a:lnTo>
                  <a:pt x="287439" y="112737"/>
                </a:lnTo>
                <a:lnTo>
                  <a:pt x="307124" y="112737"/>
                </a:lnTo>
                <a:lnTo>
                  <a:pt x="307124" y="57086"/>
                </a:lnTo>
                <a:close/>
              </a:path>
              <a:path w="348615" h="153670">
                <a:moveTo>
                  <a:pt x="308775" y="35801"/>
                </a:moveTo>
                <a:lnTo>
                  <a:pt x="304076" y="31864"/>
                </a:lnTo>
                <a:lnTo>
                  <a:pt x="290842" y="31864"/>
                </a:lnTo>
                <a:lnTo>
                  <a:pt x="286016" y="35801"/>
                </a:lnTo>
                <a:lnTo>
                  <a:pt x="286016" y="47396"/>
                </a:lnTo>
                <a:lnTo>
                  <a:pt x="290842" y="51130"/>
                </a:lnTo>
                <a:lnTo>
                  <a:pt x="304076" y="51130"/>
                </a:lnTo>
                <a:lnTo>
                  <a:pt x="308775" y="47396"/>
                </a:lnTo>
                <a:lnTo>
                  <a:pt x="308775" y="35801"/>
                </a:lnTo>
                <a:close/>
              </a:path>
              <a:path w="348615" h="153670">
                <a:moveTo>
                  <a:pt x="348272" y="58864"/>
                </a:moveTo>
                <a:lnTo>
                  <a:pt x="343674" y="36131"/>
                </a:lnTo>
                <a:lnTo>
                  <a:pt x="343649" y="35979"/>
                </a:lnTo>
                <a:lnTo>
                  <a:pt x="336956" y="26073"/>
                </a:lnTo>
                <a:lnTo>
                  <a:pt x="336956" y="58864"/>
                </a:lnTo>
                <a:lnTo>
                  <a:pt x="336956" y="94322"/>
                </a:lnTo>
                <a:lnTo>
                  <a:pt x="333222" y="112814"/>
                </a:lnTo>
                <a:lnTo>
                  <a:pt x="323011" y="127927"/>
                </a:lnTo>
                <a:lnTo>
                  <a:pt x="307898" y="138125"/>
                </a:lnTo>
                <a:lnTo>
                  <a:pt x="289420" y="141871"/>
                </a:lnTo>
                <a:lnTo>
                  <a:pt x="157988" y="141871"/>
                </a:lnTo>
                <a:lnTo>
                  <a:pt x="167957" y="132664"/>
                </a:lnTo>
                <a:lnTo>
                  <a:pt x="175590" y="121386"/>
                </a:lnTo>
                <a:lnTo>
                  <a:pt x="178828" y="112814"/>
                </a:lnTo>
                <a:lnTo>
                  <a:pt x="180467" y="108470"/>
                </a:lnTo>
                <a:lnTo>
                  <a:pt x="182181" y="94322"/>
                </a:lnTo>
                <a:lnTo>
                  <a:pt x="182181" y="58864"/>
                </a:lnTo>
                <a:lnTo>
                  <a:pt x="182448" y="57569"/>
                </a:lnTo>
                <a:lnTo>
                  <a:pt x="182549" y="57073"/>
                </a:lnTo>
                <a:lnTo>
                  <a:pt x="183756" y="51117"/>
                </a:lnTo>
                <a:lnTo>
                  <a:pt x="185928" y="40386"/>
                </a:lnTo>
                <a:lnTo>
                  <a:pt x="191681" y="31864"/>
                </a:lnTo>
                <a:lnTo>
                  <a:pt x="196126" y="25273"/>
                </a:lnTo>
                <a:lnTo>
                  <a:pt x="211251" y="15074"/>
                </a:lnTo>
                <a:lnTo>
                  <a:pt x="229730" y="11328"/>
                </a:lnTo>
                <a:lnTo>
                  <a:pt x="289420" y="11328"/>
                </a:lnTo>
                <a:lnTo>
                  <a:pt x="307898" y="15074"/>
                </a:lnTo>
                <a:lnTo>
                  <a:pt x="323011" y="25273"/>
                </a:lnTo>
                <a:lnTo>
                  <a:pt x="333222" y="40386"/>
                </a:lnTo>
                <a:lnTo>
                  <a:pt x="336956" y="58864"/>
                </a:lnTo>
                <a:lnTo>
                  <a:pt x="336956" y="26073"/>
                </a:lnTo>
                <a:lnTo>
                  <a:pt x="331012" y="17259"/>
                </a:lnTo>
                <a:lnTo>
                  <a:pt x="322224" y="11328"/>
                </a:lnTo>
                <a:lnTo>
                  <a:pt x="312305" y="4635"/>
                </a:lnTo>
                <a:lnTo>
                  <a:pt x="289407" y="0"/>
                </a:lnTo>
                <a:lnTo>
                  <a:pt x="153568" y="0"/>
                </a:lnTo>
                <a:lnTo>
                  <a:pt x="153568" y="35801"/>
                </a:lnTo>
                <a:lnTo>
                  <a:pt x="153568" y="47383"/>
                </a:lnTo>
                <a:lnTo>
                  <a:pt x="151942" y="48679"/>
                </a:lnTo>
                <a:lnTo>
                  <a:pt x="151942" y="57073"/>
                </a:lnTo>
                <a:lnTo>
                  <a:pt x="151942" y="112814"/>
                </a:lnTo>
                <a:lnTo>
                  <a:pt x="132219" y="112814"/>
                </a:lnTo>
                <a:lnTo>
                  <a:pt x="132219" y="57073"/>
                </a:lnTo>
                <a:lnTo>
                  <a:pt x="151942" y="57073"/>
                </a:lnTo>
                <a:lnTo>
                  <a:pt x="151942" y="48679"/>
                </a:lnTo>
                <a:lnTo>
                  <a:pt x="148869" y="51117"/>
                </a:lnTo>
                <a:lnTo>
                  <a:pt x="135623" y="51117"/>
                </a:lnTo>
                <a:lnTo>
                  <a:pt x="130797" y="47383"/>
                </a:lnTo>
                <a:lnTo>
                  <a:pt x="130797" y="36131"/>
                </a:lnTo>
                <a:lnTo>
                  <a:pt x="130797" y="35801"/>
                </a:lnTo>
                <a:lnTo>
                  <a:pt x="135623" y="31864"/>
                </a:lnTo>
                <a:lnTo>
                  <a:pt x="148869" y="31864"/>
                </a:lnTo>
                <a:lnTo>
                  <a:pt x="153568" y="35801"/>
                </a:lnTo>
                <a:lnTo>
                  <a:pt x="153568" y="0"/>
                </a:lnTo>
                <a:lnTo>
                  <a:pt x="122885" y="0"/>
                </a:lnTo>
                <a:lnTo>
                  <a:pt x="122885" y="36131"/>
                </a:lnTo>
                <a:lnTo>
                  <a:pt x="104597" y="112814"/>
                </a:lnTo>
                <a:lnTo>
                  <a:pt x="85039" y="112814"/>
                </a:lnTo>
                <a:lnTo>
                  <a:pt x="81508" y="96100"/>
                </a:lnTo>
                <a:lnTo>
                  <a:pt x="79692" y="86956"/>
                </a:lnTo>
                <a:lnTo>
                  <a:pt x="78117" y="77901"/>
                </a:lnTo>
                <a:lnTo>
                  <a:pt x="76923" y="70015"/>
                </a:lnTo>
                <a:lnTo>
                  <a:pt x="76263" y="64363"/>
                </a:lnTo>
                <a:lnTo>
                  <a:pt x="75615" y="70015"/>
                </a:lnTo>
                <a:lnTo>
                  <a:pt x="74409" y="77901"/>
                </a:lnTo>
                <a:lnTo>
                  <a:pt x="72821" y="86956"/>
                </a:lnTo>
                <a:lnTo>
                  <a:pt x="71005" y="96100"/>
                </a:lnTo>
                <a:lnTo>
                  <a:pt x="67487" y="112814"/>
                </a:lnTo>
                <a:lnTo>
                  <a:pt x="48145" y="112814"/>
                </a:lnTo>
                <a:lnTo>
                  <a:pt x="29857" y="36131"/>
                </a:lnTo>
                <a:lnTo>
                  <a:pt x="51739" y="36131"/>
                </a:lnTo>
                <a:lnTo>
                  <a:pt x="55118" y="57073"/>
                </a:lnTo>
                <a:lnTo>
                  <a:pt x="56489" y="66230"/>
                </a:lnTo>
                <a:lnTo>
                  <a:pt x="57632" y="74777"/>
                </a:lnTo>
                <a:lnTo>
                  <a:pt x="58420" y="82207"/>
                </a:lnTo>
                <a:lnTo>
                  <a:pt x="59347" y="74777"/>
                </a:lnTo>
                <a:lnTo>
                  <a:pt x="60693" y="66357"/>
                </a:lnTo>
                <a:lnTo>
                  <a:pt x="62331" y="57569"/>
                </a:lnTo>
                <a:lnTo>
                  <a:pt x="64109" y="49034"/>
                </a:lnTo>
                <a:lnTo>
                  <a:pt x="66725" y="36131"/>
                </a:lnTo>
                <a:lnTo>
                  <a:pt x="86220" y="36131"/>
                </a:lnTo>
                <a:lnTo>
                  <a:pt x="88849" y="49034"/>
                </a:lnTo>
                <a:lnTo>
                  <a:pt x="90525" y="57073"/>
                </a:lnTo>
                <a:lnTo>
                  <a:pt x="92240" y="66230"/>
                </a:lnTo>
                <a:lnTo>
                  <a:pt x="93624" y="74777"/>
                </a:lnTo>
                <a:lnTo>
                  <a:pt x="94538" y="82207"/>
                </a:lnTo>
                <a:lnTo>
                  <a:pt x="95326" y="74777"/>
                </a:lnTo>
                <a:lnTo>
                  <a:pt x="96456" y="66357"/>
                </a:lnTo>
                <a:lnTo>
                  <a:pt x="97777" y="57569"/>
                </a:lnTo>
                <a:lnTo>
                  <a:pt x="99123" y="49034"/>
                </a:lnTo>
                <a:lnTo>
                  <a:pt x="101206" y="36131"/>
                </a:lnTo>
                <a:lnTo>
                  <a:pt x="122885" y="36131"/>
                </a:lnTo>
                <a:lnTo>
                  <a:pt x="122885" y="0"/>
                </a:lnTo>
                <a:lnTo>
                  <a:pt x="58864" y="0"/>
                </a:lnTo>
                <a:lnTo>
                  <a:pt x="35979" y="4635"/>
                </a:lnTo>
                <a:lnTo>
                  <a:pt x="17259" y="17259"/>
                </a:lnTo>
                <a:lnTo>
                  <a:pt x="4749" y="35801"/>
                </a:lnTo>
                <a:lnTo>
                  <a:pt x="4635" y="35979"/>
                </a:lnTo>
                <a:lnTo>
                  <a:pt x="0" y="58864"/>
                </a:lnTo>
                <a:lnTo>
                  <a:pt x="0" y="94322"/>
                </a:lnTo>
                <a:lnTo>
                  <a:pt x="4635" y="117221"/>
                </a:lnTo>
                <a:lnTo>
                  <a:pt x="17259" y="135940"/>
                </a:lnTo>
                <a:lnTo>
                  <a:pt x="35979" y="148564"/>
                </a:lnTo>
                <a:lnTo>
                  <a:pt x="58864" y="153200"/>
                </a:lnTo>
                <a:lnTo>
                  <a:pt x="289407" y="153200"/>
                </a:lnTo>
                <a:lnTo>
                  <a:pt x="331012" y="135940"/>
                </a:lnTo>
                <a:lnTo>
                  <a:pt x="348272" y="94322"/>
                </a:lnTo>
                <a:lnTo>
                  <a:pt x="348272" y="58864"/>
                </a:lnTo>
                <a:close/>
              </a:path>
            </a:pathLst>
          </a:custGeom>
          <a:solidFill>
            <a:srgbClr val="231F20"/>
          </a:solidFill>
        </xdr:spPr>
      </xdr:sp>
      <xdr:sp macro="" textlink="">
        <xdr:nvSpPr>
          <xdr:cNvPr id="88" name="Shape 27">
            <a:extLst>
              <a:ext uri="{FF2B5EF4-FFF2-40B4-BE49-F238E27FC236}">
                <a16:creationId xmlns:a16="http://schemas.microsoft.com/office/drawing/2014/main" id="{051E8670-800F-5EDA-E1C1-9B8A5523DB7D}"/>
              </a:ext>
            </a:extLst>
          </xdr:cNvPr>
          <xdr:cNvSpPr/>
        </xdr:nvSpPr>
        <xdr:spPr>
          <a:xfrm>
            <a:off x="353062" y="15696"/>
            <a:ext cx="22225" cy="22225"/>
          </a:xfrm>
          <a:custGeom>
            <a:avLst/>
            <a:gdLst/>
            <a:ahLst/>
            <a:cxnLst/>
            <a:rect l="0" t="0" r="0" b="0"/>
            <a:pathLst>
              <a:path w="22225" h="22225">
                <a:moveTo>
                  <a:pt x="15392" y="7366"/>
                </a:moveTo>
                <a:lnTo>
                  <a:pt x="15062" y="6858"/>
                </a:lnTo>
                <a:lnTo>
                  <a:pt x="14782" y="6350"/>
                </a:lnTo>
                <a:lnTo>
                  <a:pt x="14427" y="5981"/>
                </a:lnTo>
                <a:lnTo>
                  <a:pt x="13550" y="5486"/>
                </a:lnTo>
                <a:lnTo>
                  <a:pt x="12839" y="5486"/>
                </a:lnTo>
                <a:lnTo>
                  <a:pt x="12839" y="9372"/>
                </a:lnTo>
                <a:lnTo>
                  <a:pt x="12522" y="9829"/>
                </a:lnTo>
                <a:lnTo>
                  <a:pt x="8420" y="9829"/>
                </a:lnTo>
                <a:lnTo>
                  <a:pt x="8420" y="7366"/>
                </a:lnTo>
                <a:lnTo>
                  <a:pt x="12255" y="7366"/>
                </a:lnTo>
                <a:lnTo>
                  <a:pt x="12522" y="7543"/>
                </a:lnTo>
                <a:lnTo>
                  <a:pt x="12801" y="7912"/>
                </a:lnTo>
                <a:lnTo>
                  <a:pt x="12839" y="9372"/>
                </a:lnTo>
                <a:lnTo>
                  <a:pt x="12839" y="5486"/>
                </a:lnTo>
                <a:lnTo>
                  <a:pt x="6057" y="5486"/>
                </a:lnTo>
                <a:lnTo>
                  <a:pt x="6057" y="11645"/>
                </a:lnTo>
                <a:lnTo>
                  <a:pt x="13373" y="11645"/>
                </a:lnTo>
                <a:lnTo>
                  <a:pt x="14147" y="11290"/>
                </a:lnTo>
                <a:lnTo>
                  <a:pt x="15100" y="10248"/>
                </a:lnTo>
                <a:lnTo>
                  <a:pt x="15341" y="9829"/>
                </a:lnTo>
                <a:lnTo>
                  <a:pt x="15392" y="7366"/>
                </a:lnTo>
                <a:close/>
              </a:path>
              <a:path w="22225" h="22225">
                <a:moveTo>
                  <a:pt x="16217" y="16903"/>
                </a:moveTo>
                <a:lnTo>
                  <a:pt x="13068" y="12103"/>
                </a:lnTo>
                <a:lnTo>
                  <a:pt x="9702" y="12103"/>
                </a:lnTo>
                <a:lnTo>
                  <a:pt x="6057" y="11925"/>
                </a:lnTo>
                <a:lnTo>
                  <a:pt x="6057" y="16903"/>
                </a:lnTo>
                <a:lnTo>
                  <a:pt x="8420" y="16903"/>
                </a:lnTo>
                <a:lnTo>
                  <a:pt x="8420" y="12103"/>
                </a:lnTo>
                <a:lnTo>
                  <a:pt x="10604" y="12395"/>
                </a:lnTo>
                <a:lnTo>
                  <a:pt x="10414" y="12395"/>
                </a:lnTo>
                <a:lnTo>
                  <a:pt x="11112" y="12915"/>
                </a:lnTo>
                <a:lnTo>
                  <a:pt x="11658" y="13728"/>
                </a:lnTo>
                <a:lnTo>
                  <a:pt x="12319" y="14998"/>
                </a:lnTo>
                <a:lnTo>
                  <a:pt x="13271" y="16903"/>
                </a:lnTo>
                <a:lnTo>
                  <a:pt x="16217" y="16903"/>
                </a:lnTo>
                <a:close/>
              </a:path>
              <a:path w="22225" h="22225">
                <a:moveTo>
                  <a:pt x="22059" y="9067"/>
                </a:moveTo>
                <a:lnTo>
                  <a:pt x="21551" y="7239"/>
                </a:lnTo>
                <a:lnTo>
                  <a:pt x="19824" y="4152"/>
                </a:lnTo>
                <a:lnTo>
                  <a:pt x="19824" y="12915"/>
                </a:lnTo>
                <a:lnTo>
                  <a:pt x="19519" y="14033"/>
                </a:lnTo>
                <a:lnTo>
                  <a:pt x="17945" y="16814"/>
                </a:lnTo>
                <a:lnTo>
                  <a:pt x="16852" y="17907"/>
                </a:lnTo>
                <a:lnTo>
                  <a:pt x="14058" y="19469"/>
                </a:lnTo>
                <a:lnTo>
                  <a:pt x="12585" y="19875"/>
                </a:lnTo>
                <a:lnTo>
                  <a:pt x="9512" y="19875"/>
                </a:lnTo>
                <a:lnTo>
                  <a:pt x="2286" y="12915"/>
                </a:lnTo>
                <a:lnTo>
                  <a:pt x="2298" y="9067"/>
                </a:lnTo>
                <a:lnTo>
                  <a:pt x="9525" y="2171"/>
                </a:lnTo>
                <a:lnTo>
                  <a:pt x="12547" y="2171"/>
                </a:lnTo>
                <a:lnTo>
                  <a:pt x="19824" y="12915"/>
                </a:lnTo>
                <a:lnTo>
                  <a:pt x="19824" y="4152"/>
                </a:lnTo>
                <a:lnTo>
                  <a:pt x="12928" y="0"/>
                </a:lnTo>
                <a:lnTo>
                  <a:pt x="9144" y="0"/>
                </a:lnTo>
                <a:lnTo>
                  <a:pt x="0" y="9067"/>
                </a:lnTo>
                <a:lnTo>
                  <a:pt x="0" y="12915"/>
                </a:lnTo>
                <a:lnTo>
                  <a:pt x="9118" y="22021"/>
                </a:lnTo>
                <a:lnTo>
                  <a:pt x="12941" y="22021"/>
                </a:lnTo>
                <a:lnTo>
                  <a:pt x="20586" y="16484"/>
                </a:lnTo>
                <a:lnTo>
                  <a:pt x="21577" y="14744"/>
                </a:lnTo>
                <a:lnTo>
                  <a:pt x="22059" y="12915"/>
                </a:lnTo>
                <a:lnTo>
                  <a:pt x="22059" y="9067"/>
                </a:lnTo>
                <a:close/>
              </a:path>
            </a:pathLst>
          </a:custGeom>
          <a:solidFill>
            <a:srgbClr val="050100"/>
          </a:solidFill>
        </xdr:spPr>
      </xdr:sp>
      <xdr:pic>
        <xdr:nvPicPr>
          <xdr:cNvPr id="89" name="image11.png">
            <a:extLst>
              <a:ext uri="{FF2B5EF4-FFF2-40B4-BE49-F238E27FC236}">
                <a16:creationId xmlns:a16="http://schemas.microsoft.com/office/drawing/2014/main" id="{76CFB3C0-EFD2-CBF5-7187-981421AEC1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2364" y="234315"/>
            <a:ext cx="358279" cy="188366"/>
          </a:xfrm>
          <a:prstGeom prst="rect">
            <a:avLst/>
          </a:prstGeom>
        </xdr:spPr>
      </xdr:pic>
      <xdr:pic>
        <xdr:nvPicPr>
          <xdr:cNvPr id="90" name="image12.png">
            <a:extLst>
              <a:ext uri="{FF2B5EF4-FFF2-40B4-BE49-F238E27FC236}">
                <a16:creationId xmlns:a16="http://schemas.microsoft.com/office/drawing/2014/main" id="{7AAE44DE-8499-5532-5763-683E43FA59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6715" y="270001"/>
            <a:ext cx="314999" cy="314999"/>
          </a:xfrm>
          <a:prstGeom prst="rect">
            <a:avLst/>
          </a:prstGeom>
        </xdr:spPr>
      </xdr:pic>
    </xdr:grpSp>
    <xdr:clientData/>
  </xdr:oneCellAnchor>
  <xdr:oneCellAnchor>
    <xdr:from>
      <xdr:col>15</xdr:col>
      <xdr:colOff>596902</xdr:colOff>
      <xdr:row>187</xdr:row>
      <xdr:rowOff>25400</xdr:rowOff>
    </xdr:from>
    <xdr:ext cx="696403" cy="527048"/>
    <xdr:pic>
      <xdr:nvPicPr>
        <xdr:cNvPr id="91" name="Imagine 9">
          <a:extLst>
            <a:ext uri="{FF2B5EF4-FFF2-40B4-BE49-F238E27FC236}">
              <a16:creationId xmlns:a16="http://schemas.microsoft.com/office/drawing/2014/main" id="{86CA433A-739D-47BF-B522-964BCCC98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205107">
          <a:off x="13944602" y="7229475"/>
          <a:ext cx="696403" cy="527048"/>
        </a:xfrm>
        <a:prstGeom prst="rect">
          <a:avLst/>
        </a:prstGeom>
      </xdr:spPr>
    </xdr:pic>
    <xdr:clientData/>
  </xdr:oneCellAnchor>
  <xdr:oneCellAnchor>
    <xdr:from>
      <xdr:col>13</xdr:col>
      <xdr:colOff>792529</xdr:colOff>
      <xdr:row>182</xdr:row>
      <xdr:rowOff>190500</xdr:rowOff>
    </xdr:from>
    <xdr:ext cx="907110" cy="1409700"/>
    <xdr:pic>
      <xdr:nvPicPr>
        <xdr:cNvPr id="92" name="Imagine 11">
          <a:extLst>
            <a:ext uri="{FF2B5EF4-FFF2-40B4-BE49-F238E27FC236}">
              <a16:creationId xmlns:a16="http://schemas.microsoft.com/office/drawing/2014/main" id="{A91C4C94-D325-4631-B0A8-499DF1879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533679" y="6391275"/>
          <a:ext cx="907110" cy="1409700"/>
        </a:xfrm>
        <a:prstGeom prst="rect">
          <a:avLst/>
        </a:prstGeom>
      </xdr:spPr>
    </xdr:pic>
    <xdr:clientData/>
  </xdr:oneCellAnchor>
  <xdr:oneCellAnchor>
    <xdr:from>
      <xdr:col>8</xdr:col>
      <xdr:colOff>295275</xdr:colOff>
      <xdr:row>178</xdr:row>
      <xdr:rowOff>22224</xdr:rowOff>
    </xdr:from>
    <xdr:ext cx="2260504" cy="1222375"/>
    <xdr:pic>
      <xdr:nvPicPr>
        <xdr:cNvPr id="93" name="Picture 3" descr="ALU-Foil-Mat - afb. 1">
          <a:extLst>
            <a:ext uri="{FF2B5EF4-FFF2-40B4-BE49-F238E27FC236}">
              <a16:creationId xmlns:a16="http://schemas.microsoft.com/office/drawing/2014/main" id="{BD2F12D7-3399-4E58-8F42-C01C1F40A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610600" y="41151174"/>
          <a:ext cx="2260504" cy="122237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142875</xdr:colOff>
      <xdr:row>183</xdr:row>
      <xdr:rowOff>123825</xdr:rowOff>
    </xdr:from>
    <xdr:ext cx="1394356" cy="1228726"/>
    <xdr:pic>
      <xdr:nvPicPr>
        <xdr:cNvPr id="94" name="Picture 27" descr="Imagini pentru magnum underfloor heating mat">
          <a:extLst>
            <a:ext uri="{FF2B5EF4-FFF2-40B4-BE49-F238E27FC236}">
              <a16:creationId xmlns:a16="http://schemas.microsoft.com/office/drawing/2014/main" id="{B26ACF60-DED3-4FC1-A44C-C5B665397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0" y="6521450"/>
          <a:ext cx="1394356" cy="1228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139700</xdr:colOff>
      <xdr:row>183</xdr:row>
      <xdr:rowOff>6350</xdr:rowOff>
    </xdr:from>
    <xdr:ext cx="1619250" cy="828675"/>
    <xdr:pic>
      <xdr:nvPicPr>
        <xdr:cNvPr id="95" name="Imagine 21">
          <a:extLst>
            <a:ext uri="{FF2B5EF4-FFF2-40B4-BE49-F238E27FC236}">
              <a16:creationId xmlns:a16="http://schemas.microsoft.com/office/drawing/2014/main" id="{95005239-E139-4062-B3AE-4A554C393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487400" y="6410325"/>
          <a:ext cx="1619250" cy="828675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187</xdr:row>
      <xdr:rowOff>133350</xdr:rowOff>
    </xdr:from>
    <xdr:ext cx="1438472" cy="628739"/>
    <xdr:pic>
      <xdr:nvPicPr>
        <xdr:cNvPr id="96" name="Imagine 25">
          <a:extLst>
            <a:ext uri="{FF2B5EF4-FFF2-40B4-BE49-F238E27FC236}">
              <a16:creationId xmlns:a16="http://schemas.microsoft.com/office/drawing/2014/main" id="{3DDF707A-6565-427E-A651-7FDA25992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29675" y="7334250"/>
          <a:ext cx="1438472" cy="628739"/>
        </a:xfrm>
        <a:prstGeom prst="rect">
          <a:avLst/>
        </a:prstGeom>
      </xdr:spPr>
    </xdr:pic>
    <xdr:clientData/>
  </xdr:oneCellAnchor>
  <xdr:oneCellAnchor>
    <xdr:from>
      <xdr:col>17</xdr:col>
      <xdr:colOff>158750</xdr:colOff>
      <xdr:row>185</xdr:row>
      <xdr:rowOff>161925</xdr:rowOff>
    </xdr:from>
    <xdr:ext cx="1417956" cy="1025338"/>
    <xdr:pic>
      <xdr:nvPicPr>
        <xdr:cNvPr id="97" name="Picture 4" descr="MAGNUM Cablu degivrare exterior">
          <a:extLst>
            <a:ext uri="{FF2B5EF4-FFF2-40B4-BE49-F238E27FC236}">
              <a16:creationId xmlns:a16="http://schemas.microsoft.com/office/drawing/2014/main" id="{648A2434-662B-4878-BB18-5DB2EE4AF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011400" y="6959600"/>
          <a:ext cx="1417956" cy="1025338"/>
        </a:xfrm>
        <a:prstGeom prst="rect">
          <a:avLst/>
        </a:prstGeom>
        <a:noFill/>
      </xdr:spPr>
    </xdr:pic>
    <xdr:clientData/>
  </xdr:oneCellAnchor>
  <xdr:oneCellAnchor>
    <xdr:from>
      <xdr:col>13</xdr:col>
      <xdr:colOff>1035050</xdr:colOff>
      <xdr:row>191</xdr:row>
      <xdr:rowOff>44450</xdr:rowOff>
    </xdr:from>
    <xdr:ext cx="2297938" cy="957140"/>
    <xdr:pic>
      <xdr:nvPicPr>
        <xdr:cNvPr id="98" name="Imagine 4">
          <a:extLst>
            <a:ext uri="{FF2B5EF4-FFF2-40B4-BE49-F238E27FC236}">
              <a16:creationId xmlns:a16="http://schemas.microsoft.com/office/drawing/2014/main" id="{745AF653-403B-4FA8-BFF0-A0E5965E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2931775" y="43716575"/>
          <a:ext cx="2297938" cy="957140"/>
        </a:xfrm>
        <a:prstGeom prst="rect">
          <a:avLst/>
        </a:prstGeom>
      </xdr:spPr>
    </xdr:pic>
    <xdr:clientData/>
  </xdr:oneCellAnchor>
  <xdr:oneCellAnchor>
    <xdr:from>
      <xdr:col>17</xdr:col>
      <xdr:colOff>171450</xdr:colOff>
      <xdr:row>191</xdr:row>
      <xdr:rowOff>47625</xdr:rowOff>
    </xdr:from>
    <xdr:ext cx="904995" cy="425510"/>
    <xdr:pic>
      <xdr:nvPicPr>
        <xdr:cNvPr id="99" name="Imagine 10">
          <a:extLst>
            <a:ext uri="{FF2B5EF4-FFF2-40B4-BE49-F238E27FC236}">
              <a16:creationId xmlns:a16="http://schemas.microsoft.com/office/drawing/2014/main" id="{28FD8FF0-DB6B-4915-8F84-47760D768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5173325" y="43719750"/>
          <a:ext cx="904995" cy="425510"/>
        </a:xfrm>
        <a:prstGeom prst="rect">
          <a:avLst/>
        </a:prstGeom>
      </xdr:spPr>
    </xdr:pic>
    <xdr:clientData/>
  </xdr:oneCellAnchor>
  <xdr:oneCellAnchor>
    <xdr:from>
      <xdr:col>17</xdr:col>
      <xdr:colOff>571500</xdr:colOff>
      <xdr:row>183</xdr:row>
      <xdr:rowOff>85724</xdr:rowOff>
    </xdr:from>
    <xdr:ext cx="1277959" cy="609060"/>
    <xdr:pic>
      <xdr:nvPicPr>
        <xdr:cNvPr id="100" name="Imagine 11">
          <a:extLst>
            <a:ext uri="{FF2B5EF4-FFF2-40B4-BE49-F238E27FC236}">
              <a16:creationId xmlns:a16="http://schemas.microsoft.com/office/drawing/2014/main" id="{89F8C0FE-C745-4A86-B7BE-F73E9639E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305766">
          <a:off x="15420975" y="6489699"/>
          <a:ext cx="1277959" cy="60906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181</xdr:row>
      <xdr:rowOff>0</xdr:rowOff>
    </xdr:from>
    <xdr:ext cx="1088005" cy="541544"/>
    <xdr:pic>
      <xdr:nvPicPr>
        <xdr:cNvPr id="101" name="Immagine 27" descr="PHTE2.png">
          <a:extLst>
            <a:ext uri="{FF2B5EF4-FFF2-40B4-BE49-F238E27FC236}">
              <a16:creationId xmlns:a16="http://schemas.microsoft.com/office/drawing/2014/main" id="{79A9C300-620A-4B84-BAEC-DCC5378A7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6935450" y="6000750"/>
          <a:ext cx="1088005" cy="541544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180</xdr:row>
      <xdr:rowOff>38100</xdr:rowOff>
    </xdr:from>
    <xdr:ext cx="1295401" cy="610688"/>
    <xdr:pic>
      <xdr:nvPicPr>
        <xdr:cNvPr id="102" name="Imagine 13">
          <a:extLst>
            <a:ext uri="{FF2B5EF4-FFF2-40B4-BE49-F238E27FC236}">
              <a16:creationId xmlns:a16="http://schemas.microsoft.com/office/drawing/2014/main" id="{B5538748-83C1-4D82-B9F0-E48D166E0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972800" y="5838825"/>
          <a:ext cx="1295401" cy="610688"/>
        </a:xfrm>
        <a:prstGeom prst="rect">
          <a:avLst/>
        </a:prstGeom>
      </xdr:spPr>
    </xdr:pic>
    <xdr:clientData/>
  </xdr:oneCellAnchor>
  <xdr:oneCellAnchor>
    <xdr:from>
      <xdr:col>18</xdr:col>
      <xdr:colOff>333375</xdr:colOff>
      <xdr:row>179</xdr:row>
      <xdr:rowOff>190500</xdr:rowOff>
    </xdr:from>
    <xdr:ext cx="708964" cy="638175"/>
    <xdr:pic>
      <xdr:nvPicPr>
        <xdr:cNvPr id="103" name="Picture 102">
          <a:extLst>
            <a:ext uri="{FF2B5EF4-FFF2-40B4-BE49-F238E27FC236}">
              <a16:creationId xmlns:a16="http://schemas.microsoft.com/office/drawing/2014/main" id="{81404AB1-7298-4E53-B80F-CA28DB6E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5951200" y="5676900"/>
          <a:ext cx="708964" cy="638175"/>
        </a:xfrm>
        <a:prstGeom prst="rect">
          <a:avLst/>
        </a:prstGeom>
      </xdr:spPr>
    </xdr:pic>
    <xdr:clientData/>
  </xdr:oneCellAnchor>
  <xdr:twoCellAnchor editAs="oneCell">
    <xdr:from>
      <xdr:col>9</xdr:col>
      <xdr:colOff>57150</xdr:colOff>
      <xdr:row>190</xdr:row>
      <xdr:rowOff>104775</xdr:rowOff>
    </xdr:from>
    <xdr:to>
      <xdr:col>11</xdr:col>
      <xdr:colOff>535940</xdr:colOff>
      <xdr:row>196</xdr:row>
      <xdr:rowOff>84268</xdr:rowOff>
    </xdr:to>
    <xdr:pic>
      <xdr:nvPicPr>
        <xdr:cNvPr id="105" name="Imagine 20">
          <a:extLst>
            <a:ext uri="{FF2B5EF4-FFF2-40B4-BE49-F238E27FC236}">
              <a16:creationId xmlns:a16="http://schemas.microsoft.com/office/drawing/2014/main" id="{C8B674D1-A3AC-4FA5-85EF-2FB35C10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43576875"/>
          <a:ext cx="1783715" cy="1173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257175</xdr:colOff>
      <xdr:row>195</xdr:row>
      <xdr:rowOff>47625</xdr:rowOff>
    </xdr:from>
    <xdr:to>
      <xdr:col>11</xdr:col>
      <xdr:colOff>571500</xdr:colOff>
      <xdr:row>200</xdr:row>
      <xdr:rowOff>30218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9164CAAC-3094-4BCF-94FF-D310AFF38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9086850" y="44519850"/>
          <a:ext cx="1619250" cy="982718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192</xdr:row>
      <xdr:rowOff>0</xdr:rowOff>
    </xdr:from>
    <xdr:to>
      <xdr:col>13</xdr:col>
      <xdr:colOff>695324</xdr:colOff>
      <xdr:row>197</xdr:row>
      <xdr:rowOff>2497</xdr:rowOff>
    </xdr:to>
    <xdr:pic>
      <xdr:nvPicPr>
        <xdr:cNvPr id="108" name="Picture 2" descr="ETR-2 Thermostat">
          <a:extLst>
            <a:ext uri="{FF2B5EF4-FFF2-40B4-BE49-F238E27FC236}">
              <a16:creationId xmlns:a16="http://schemas.microsoft.com/office/drawing/2014/main" id="{DD25671B-F84E-46C3-AC8E-C2403B1B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1896725" y="43872150"/>
          <a:ext cx="695324" cy="999447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197</xdr:row>
      <xdr:rowOff>0</xdr:rowOff>
    </xdr:from>
    <xdr:to>
      <xdr:col>16</xdr:col>
      <xdr:colOff>31115</xdr:colOff>
      <xdr:row>202</xdr:row>
      <xdr:rowOff>107763</xdr:rowOff>
    </xdr:to>
    <xdr:pic>
      <xdr:nvPicPr>
        <xdr:cNvPr id="109" name="Picture 2" descr="https://www.magnumheating.ro/editor/file/190061/ETN4.jpg">
          <a:extLst>
            <a:ext uri="{FF2B5EF4-FFF2-40B4-BE49-F238E27FC236}">
              <a16:creationId xmlns:a16="http://schemas.microsoft.com/office/drawing/2014/main" id="{AB69EC87-1A21-4AF2-9CAE-38DC7D159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3496925" y="44872275"/>
          <a:ext cx="662940" cy="1101538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63501</xdr:colOff>
      <xdr:row>46</xdr:row>
      <xdr:rowOff>63500</xdr:rowOff>
    </xdr:from>
    <xdr:to>
      <xdr:col>21</xdr:col>
      <xdr:colOff>149226</xdr:colOff>
      <xdr:row>51</xdr:row>
      <xdr:rowOff>152285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AC6A8E80-C18D-4455-BEEE-0A3A3049B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4101" y="11722100"/>
          <a:ext cx="1438275" cy="108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381000</xdr:colOff>
      <xdr:row>5</xdr:row>
      <xdr:rowOff>142875</xdr:rowOff>
    </xdr:from>
    <xdr:to>
      <xdr:col>10</xdr:col>
      <xdr:colOff>444500</xdr:colOff>
      <xdr:row>10</xdr:row>
      <xdr:rowOff>295260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6415608D-19AE-4ED7-93B0-4F8832E6E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8696325" y="2466975"/>
          <a:ext cx="1190625" cy="1003285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600075</xdr:colOff>
      <xdr:row>5</xdr:row>
      <xdr:rowOff>104776</xdr:rowOff>
    </xdr:from>
    <xdr:to>
      <xdr:col>12</xdr:col>
      <xdr:colOff>400050</xdr:colOff>
      <xdr:row>10</xdr:row>
      <xdr:rowOff>241137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22AA8B0-71F5-4855-BD8C-65AB895A9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0" y="2428876"/>
          <a:ext cx="1304925" cy="98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485775</xdr:colOff>
      <xdr:row>6</xdr:row>
      <xdr:rowOff>152400</xdr:rowOff>
    </xdr:from>
    <xdr:to>
      <xdr:col>14</xdr:col>
      <xdr:colOff>387350</xdr:colOff>
      <xdr:row>11</xdr:row>
      <xdr:rowOff>502230</xdr:rowOff>
    </xdr:to>
    <xdr:pic>
      <xdr:nvPicPr>
        <xdr:cNvPr id="77" name="Imagine 113" descr="Szafki podtynkowe - typ SWP">
          <a:extLst>
            <a:ext uri="{FF2B5EF4-FFF2-40B4-BE49-F238E27FC236}">
              <a16:creationId xmlns:a16="http://schemas.microsoft.com/office/drawing/2014/main" id="{C04D3984-4771-492E-9BD2-2742E094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657475"/>
          <a:ext cx="1714500" cy="137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552450</xdr:colOff>
      <xdr:row>5</xdr:row>
      <xdr:rowOff>142876</xdr:rowOff>
    </xdr:from>
    <xdr:to>
      <xdr:col>17</xdr:col>
      <xdr:colOff>111376</xdr:colOff>
      <xdr:row>10</xdr:row>
      <xdr:rowOff>219076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7A1B8DFF-F08C-E56A-6977-DA80CDB4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3306425" y="2466976"/>
          <a:ext cx="1625851" cy="920750"/>
        </a:xfrm>
        <a:prstGeom prst="rect">
          <a:avLst/>
        </a:prstGeom>
      </xdr:spPr>
    </xdr:pic>
    <xdr:clientData/>
  </xdr:twoCellAnchor>
  <xdr:twoCellAnchor editAs="oneCell">
    <xdr:from>
      <xdr:col>17</xdr:col>
      <xdr:colOff>209550</xdr:colOff>
      <xdr:row>5</xdr:row>
      <xdr:rowOff>142875</xdr:rowOff>
    </xdr:from>
    <xdr:to>
      <xdr:col>18</xdr:col>
      <xdr:colOff>560466</xdr:colOff>
      <xdr:row>9</xdr:row>
      <xdr:rowOff>168275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BEF617C-4917-6E11-0C1F-E206CADB2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5030450" y="2466975"/>
          <a:ext cx="1125616" cy="6921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9</xdr:row>
      <xdr:rowOff>0</xdr:rowOff>
    </xdr:from>
    <xdr:to>
      <xdr:col>20</xdr:col>
      <xdr:colOff>654104</xdr:colOff>
      <xdr:row>11</xdr:row>
      <xdr:rowOff>370916</xdr:rowOff>
    </xdr:to>
    <xdr:pic>
      <xdr:nvPicPr>
        <xdr:cNvPr id="81" name="Picture 80" descr="SpeeTherm15 (Box 5?m²)">
          <a:extLst>
            <a:ext uri="{FF2B5EF4-FFF2-40B4-BE49-F238E27FC236}">
              <a16:creationId xmlns:a16="http://schemas.microsoft.com/office/drawing/2014/main" id="{76C669C0-19F4-446C-91D0-E6317CF1F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600" y="2990850"/>
          <a:ext cx="1327204" cy="907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533400</xdr:colOff>
      <xdr:row>11</xdr:row>
      <xdr:rowOff>161925</xdr:rowOff>
    </xdr:from>
    <xdr:to>
      <xdr:col>21</xdr:col>
      <xdr:colOff>234950</xdr:colOff>
      <xdr:row>11</xdr:row>
      <xdr:rowOff>704648</xdr:rowOff>
    </xdr:to>
    <xdr:pic>
      <xdr:nvPicPr>
        <xdr:cNvPr id="82" name="Picture 7">
          <a:extLst>
            <a:ext uri="{FF2B5EF4-FFF2-40B4-BE49-F238E27FC236}">
              <a16:creationId xmlns:a16="http://schemas.microsoft.com/office/drawing/2014/main" id="{B7962943-1725-46FA-B955-058CAFEA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16125825" y="3686175"/>
          <a:ext cx="1695450" cy="542723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876300</xdr:colOff>
      <xdr:row>0</xdr:row>
      <xdr:rowOff>1162050</xdr:rowOff>
    </xdr:from>
    <xdr:to>
      <xdr:col>15</xdr:col>
      <xdr:colOff>454025</xdr:colOff>
      <xdr:row>7</xdr:row>
      <xdr:rowOff>60323</xdr:rowOff>
    </xdr:to>
    <xdr:pic>
      <xdr:nvPicPr>
        <xdr:cNvPr id="83" name="Picture 82" descr="WARP Systems SpeeTop vulmassa">
          <a:extLst>
            <a:ext uri="{FF2B5EF4-FFF2-40B4-BE49-F238E27FC236}">
              <a16:creationId xmlns:a16="http://schemas.microsoft.com/office/drawing/2014/main" id="{8E78CE4E-EA8D-44F4-8CE4-3B557B7A2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1162050"/>
          <a:ext cx="1177925" cy="1584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mailto:mihail.macovei@magnumheating.ro" TargetMode="External"/><Relationship Id="rId1" Type="http://schemas.openxmlformats.org/officeDocument/2006/relationships/hyperlink" Target="http://www.magnumheating.ro/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agnumheating.ro/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A2FD-D502-406E-969A-CD66894CDDFD}">
  <sheetPr codeName="Foaie7">
    <tabColor rgb="FF92D050"/>
  </sheetPr>
  <dimension ref="A1:AU95"/>
  <sheetViews>
    <sheetView topLeftCell="A58" zoomScale="70" zoomScaleNormal="70" zoomScaleSheetLayoutView="100" workbookViewId="0">
      <selection activeCell="E72" sqref="E72"/>
    </sheetView>
  </sheetViews>
  <sheetFormatPr defaultColWidth="9.109375" defaultRowHeight="11.4" x14ac:dyDescent="0.2"/>
  <cols>
    <col min="1" max="1" width="5.77734375" style="5" customWidth="1"/>
    <col min="2" max="2" width="8.21875" style="5" customWidth="1"/>
    <col min="3" max="3" width="58" style="5" customWidth="1"/>
    <col min="4" max="4" width="10.77734375" style="5" customWidth="1"/>
    <col min="5" max="5" width="5.77734375" style="5" customWidth="1"/>
    <col min="6" max="6" width="10.77734375" style="5" customWidth="1"/>
    <col min="7" max="7" width="10.6640625" style="5" customWidth="1"/>
    <col min="8" max="8" width="7.6640625" style="5" customWidth="1"/>
    <col min="9" max="9" width="9.21875" style="5" customWidth="1"/>
    <col min="10" max="10" width="9" style="5" customWidth="1"/>
    <col min="11" max="11" width="9.109375" style="5" customWidth="1"/>
    <col min="12" max="17" width="7.77734375" style="5" customWidth="1"/>
    <col min="18" max="18" width="8" style="5" customWidth="1"/>
    <col min="19" max="26" width="7.77734375" style="5" customWidth="1"/>
    <col min="27" max="27" width="9.109375" style="5" customWidth="1"/>
    <col min="28" max="33" width="9.109375" style="5"/>
    <col min="34" max="34" width="6.33203125" style="5" bestFit="1" customWidth="1"/>
    <col min="35" max="16384" width="9.109375" style="5"/>
  </cols>
  <sheetData>
    <row r="1" spans="1:17" ht="129.75" customHeight="1" x14ac:dyDescent="0.2">
      <c r="C1" s="670" t="s">
        <v>39</v>
      </c>
      <c r="D1" s="670"/>
      <c r="E1" s="670"/>
      <c r="F1" s="670"/>
      <c r="G1" s="670"/>
      <c r="H1" s="7"/>
      <c r="I1" s="7"/>
      <c r="J1" s="7"/>
      <c r="K1" s="7"/>
      <c r="L1" s="7"/>
    </row>
    <row r="2" spans="1:17" ht="14.4" x14ac:dyDescent="0.3">
      <c r="A2" s="649" t="s">
        <v>97</v>
      </c>
      <c r="B2" s="650"/>
      <c r="C2" s="650"/>
      <c r="I2" s="17"/>
      <c r="J2" s="17"/>
      <c r="M2" s="23"/>
    </row>
    <row r="3" spans="1:17" ht="8.25" customHeight="1" x14ac:dyDescent="0.3">
      <c r="A3" s="2"/>
      <c r="B3"/>
      <c r="C3"/>
      <c r="I3" s="17"/>
      <c r="J3" s="17"/>
      <c r="M3" s="23"/>
    </row>
    <row r="4" spans="1:17" ht="14.4" x14ac:dyDescent="0.3">
      <c r="A4" s="649" t="s">
        <v>69</v>
      </c>
      <c r="B4" s="650"/>
      <c r="C4" s="650"/>
      <c r="I4" s="17"/>
      <c r="J4" s="17"/>
      <c r="M4" s="23"/>
    </row>
    <row r="5" spans="1:17" ht="14.4" x14ac:dyDescent="0.3">
      <c r="A5" s="649" t="s">
        <v>70</v>
      </c>
      <c r="B5" s="650"/>
      <c r="C5" s="650"/>
      <c r="I5" s="17"/>
      <c r="J5" s="17"/>
      <c r="M5" s="23"/>
    </row>
    <row r="6" spans="1:17" ht="14.4" x14ac:dyDescent="0.3">
      <c r="A6" s="649" t="s">
        <v>16</v>
      </c>
      <c r="B6" s="650"/>
      <c r="C6" s="650"/>
      <c r="I6" s="17"/>
      <c r="J6" s="17"/>
      <c r="M6" s="23"/>
    </row>
    <row r="7" spans="1:17" ht="14.4" x14ac:dyDescent="0.3">
      <c r="A7" s="649" t="s">
        <v>13</v>
      </c>
      <c r="B7" s="650"/>
      <c r="C7" s="650"/>
      <c r="I7" s="17"/>
      <c r="J7" s="17"/>
      <c r="M7" s="23"/>
    </row>
    <row r="8" spans="1:17" ht="14.4" x14ac:dyDescent="0.3">
      <c r="A8" s="649" t="s">
        <v>17</v>
      </c>
      <c r="B8" s="650"/>
      <c r="C8" s="650"/>
      <c r="I8" s="17"/>
      <c r="J8" s="17"/>
      <c r="M8" s="23"/>
    </row>
    <row r="9" spans="1:17" ht="24.75" customHeight="1" x14ac:dyDescent="0.2">
      <c r="A9" s="651" t="s">
        <v>0</v>
      </c>
      <c r="B9" s="651"/>
      <c r="C9" s="651"/>
      <c r="D9" s="651"/>
      <c r="E9" s="651"/>
      <c r="F9" s="651"/>
      <c r="G9" s="12"/>
      <c r="H9" s="3"/>
      <c r="I9" s="3"/>
      <c r="J9" s="3"/>
      <c r="K9" s="4"/>
      <c r="L9" s="4"/>
      <c r="M9" s="4"/>
      <c r="N9" s="4"/>
      <c r="O9" s="4"/>
      <c r="P9" s="4"/>
      <c r="Q9" s="4"/>
    </row>
    <row r="10" spans="1:17" ht="39" customHeight="1" thickBot="1" x14ac:dyDescent="0.25">
      <c r="A10" s="651" t="s">
        <v>72</v>
      </c>
      <c r="B10" s="651"/>
      <c r="C10" s="651"/>
      <c r="D10" s="651"/>
      <c r="E10" s="651"/>
      <c r="F10" s="651"/>
      <c r="G10" s="8"/>
      <c r="H10" s="3"/>
      <c r="I10" s="3"/>
      <c r="J10" s="41"/>
      <c r="K10" s="4"/>
      <c r="L10" s="4"/>
      <c r="M10" s="4"/>
      <c r="N10" s="4"/>
      <c r="O10" s="4"/>
      <c r="P10" s="4"/>
      <c r="Q10" s="4"/>
    </row>
    <row r="11" spans="1:17" ht="20.399999999999999" thickTop="1" x14ac:dyDescent="0.2">
      <c r="A11" s="15"/>
      <c r="B11" s="15"/>
      <c r="C11" s="15"/>
      <c r="D11" s="652" t="s">
        <v>92</v>
      </c>
      <c r="E11" s="91" t="e">
        <f>#REF!</f>
        <v>#REF!</v>
      </c>
      <c r="F11" s="656" t="s">
        <v>137</v>
      </c>
      <c r="G11" s="657"/>
      <c r="H11" s="3"/>
      <c r="I11" s="3"/>
      <c r="J11" s="41"/>
      <c r="K11" s="4"/>
      <c r="L11" s="4"/>
      <c r="Q11" s="4"/>
    </row>
    <row r="12" spans="1:17" ht="20.399999999999999" thickBot="1" x14ac:dyDescent="0.25">
      <c r="A12" s="15"/>
      <c r="B12" s="15"/>
      <c r="C12" s="15"/>
      <c r="D12" s="653"/>
      <c r="E12" s="92" t="e">
        <f>#REF!</f>
        <v>#REF!</v>
      </c>
      <c r="F12" s="658" t="s">
        <v>93</v>
      </c>
      <c r="G12" s="659"/>
      <c r="H12" s="3"/>
      <c r="I12" s="3"/>
      <c r="J12" s="41"/>
      <c r="K12" s="4"/>
      <c r="L12" s="4"/>
      <c r="Q12" s="4"/>
    </row>
    <row r="13" spans="1:17" ht="21" thickTop="1" thickBot="1" x14ac:dyDescent="0.25">
      <c r="A13" s="15"/>
      <c r="B13" s="15"/>
      <c r="C13" s="15"/>
      <c r="D13" s="39"/>
      <c r="E13" s="40"/>
      <c r="F13" s="19"/>
      <c r="G13" s="8"/>
      <c r="H13" s="3"/>
      <c r="I13" s="3"/>
      <c r="J13" s="41"/>
      <c r="K13" s="4"/>
      <c r="L13" s="4"/>
      <c r="Q13" s="4"/>
    </row>
    <row r="14" spans="1:17" ht="20.25" customHeight="1" x14ac:dyDescent="0.2">
      <c r="A14" s="15"/>
      <c r="B14" s="15"/>
      <c r="C14" s="15"/>
      <c r="D14" s="667" t="s">
        <v>112</v>
      </c>
      <c r="E14" s="132" t="e">
        <f>#REF!</f>
        <v>#REF!</v>
      </c>
      <c r="F14" s="660" t="s">
        <v>142</v>
      </c>
      <c r="G14" s="661"/>
      <c r="H14" s="3"/>
      <c r="I14" s="3"/>
      <c r="J14" s="41"/>
      <c r="K14" s="4"/>
      <c r="L14" s="4"/>
      <c r="Q14" s="4"/>
    </row>
    <row r="15" spans="1:17" ht="19.8" x14ac:dyDescent="0.2">
      <c r="A15" s="3"/>
      <c r="B15" s="3"/>
      <c r="C15" s="3"/>
      <c r="D15" s="668"/>
      <c r="E15" s="131" t="e">
        <f>#REF!</f>
        <v>#REF!</v>
      </c>
      <c r="F15" s="662" t="s">
        <v>143</v>
      </c>
      <c r="G15" s="663"/>
      <c r="H15" s="3"/>
      <c r="I15" s="3"/>
    </row>
    <row r="16" spans="1:17" ht="19.8" x14ac:dyDescent="0.2">
      <c r="A16" s="3"/>
      <c r="B16" s="3"/>
      <c r="C16" s="3"/>
      <c r="D16" s="668"/>
      <c r="E16" s="131" t="e">
        <f>#REF!</f>
        <v>#REF!</v>
      </c>
      <c r="F16" s="662" t="s">
        <v>113</v>
      </c>
      <c r="G16" s="666"/>
      <c r="H16" s="3"/>
      <c r="I16" s="3"/>
    </row>
    <row r="17" spans="1:36" ht="19.8" x14ac:dyDescent="0.2">
      <c r="A17" s="3"/>
      <c r="B17" s="3"/>
      <c r="C17" s="3"/>
      <c r="D17" s="668"/>
      <c r="E17" s="131" t="e">
        <f>#REF!</f>
        <v>#REF!</v>
      </c>
      <c r="F17" s="662" t="s">
        <v>138</v>
      </c>
      <c r="G17" s="666"/>
      <c r="H17" s="3"/>
      <c r="I17" s="3"/>
    </row>
    <row r="18" spans="1:36" ht="20.399999999999999" thickBot="1" x14ac:dyDescent="0.25">
      <c r="A18" s="3"/>
      <c r="B18" s="3"/>
      <c r="C18" s="3"/>
      <c r="D18" s="669"/>
      <c r="E18" s="135" t="e">
        <f>#REF!</f>
        <v>#REF!</v>
      </c>
      <c r="F18" s="688" t="s">
        <v>158</v>
      </c>
      <c r="G18" s="689"/>
      <c r="H18" s="3"/>
      <c r="I18" s="3"/>
      <c r="J18" s="29"/>
      <c r="K18" s="38"/>
      <c r="L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36" ht="16.2" x14ac:dyDescent="0.2">
      <c r="A19" s="3"/>
      <c r="B19" s="3"/>
      <c r="C19" s="3"/>
      <c r="H19" s="3"/>
      <c r="I19" s="3"/>
      <c r="J19" s="29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36" ht="16.05" customHeight="1" thickBot="1" x14ac:dyDescent="0.25">
      <c r="A20" s="3"/>
      <c r="B20" s="3"/>
      <c r="C20" s="3"/>
      <c r="H20" s="3"/>
      <c r="I20" s="21"/>
      <c r="J20" s="29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36" ht="30" customHeight="1" x14ac:dyDescent="0.2">
      <c r="A21" s="3"/>
      <c r="B21" s="3"/>
      <c r="C21" s="3"/>
      <c r="D21" s="136" t="s">
        <v>124</v>
      </c>
      <c r="E21" s="137" t="s">
        <v>125</v>
      </c>
      <c r="F21" s="133" t="s">
        <v>91</v>
      </c>
      <c r="G21" s="138" t="s">
        <v>94</v>
      </c>
      <c r="H21" s="3"/>
      <c r="I21" s="105" t="s">
        <v>161</v>
      </c>
      <c r="J21" s="106" t="s">
        <v>162</v>
      </c>
    </row>
    <row r="22" spans="1:36" ht="16.05" customHeight="1" thickBot="1" x14ac:dyDescent="0.25">
      <c r="A22" s="3"/>
      <c r="B22" s="3"/>
      <c r="C22" s="3"/>
      <c r="D22" s="139" t="e">
        <f>#REF!</f>
        <v>#REF!</v>
      </c>
      <c r="E22" s="140" t="e">
        <f>#REF!</f>
        <v>#REF!</v>
      </c>
      <c r="F22" s="141" t="e">
        <f>#REF!</f>
        <v>#REF!</v>
      </c>
      <c r="G22" s="142" t="e">
        <f>#REF!</f>
        <v>#REF!</v>
      </c>
      <c r="H22" s="3"/>
      <c r="I22" s="103" t="e">
        <f>HLOOKUP($G$22,$L$26:$AA$37,MATCH($D$22,$J$26:$J$37,0)+MATCH($E$22,$K$29:$K$31,0)-1,0)</f>
        <v>#REF!</v>
      </c>
      <c r="J22" s="104" t="e">
        <f>I22*F22</f>
        <v>#REF!</v>
      </c>
      <c r="P22" s="4"/>
      <c r="Q22" s="4"/>
    </row>
    <row r="23" spans="1:36" ht="19.5" customHeight="1" thickBot="1" x14ac:dyDescent="0.25">
      <c r="A23" s="3"/>
      <c r="B23" s="3"/>
      <c r="C23" s="3"/>
      <c r="D23" s="3"/>
      <c r="E23" s="3"/>
      <c r="F23" s="3"/>
      <c r="G23" s="3"/>
      <c r="H23" s="3"/>
      <c r="I23" s="143"/>
      <c r="J23" s="107"/>
      <c r="K23" s="4"/>
      <c r="L23" s="4"/>
      <c r="M23" s="4"/>
      <c r="N23" s="4"/>
      <c r="O23" s="4"/>
      <c r="P23" s="4"/>
      <c r="Q23" s="4"/>
    </row>
    <row r="24" spans="1:36" ht="15" customHeight="1" thickTop="1" thickBo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695" t="s">
        <v>90</v>
      </c>
      <c r="L24" s="696"/>
      <c r="M24" s="696"/>
      <c r="N24" s="696"/>
      <c r="O24" s="696"/>
      <c r="P24" s="696"/>
      <c r="Q24" s="696"/>
      <c r="R24" s="696"/>
      <c r="S24" s="696"/>
      <c r="T24" s="696"/>
      <c r="U24" s="696"/>
      <c r="V24" s="696"/>
      <c r="W24" s="696"/>
      <c r="X24" s="696"/>
      <c r="Y24" s="696"/>
      <c r="Z24" s="696"/>
      <c r="AA24" s="697"/>
    </row>
    <row r="25" spans="1:36" ht="20.25" customHeight="1" thickTop="1" thickBot="1" x14ac:dyDescent="0.45">
      <c r="A25" s="664" t="s">
        <v>41</v>
      </c>
      <c r="B25" s="665"/>
      <c r="C25" s="665"/>
      <c r="D25" s="665"/>
      <c r="E25" s="665"/>
      <c r="F25" s="665"/>
      <c r="G25" s="665"/>
      <c r="H25" s="4"/>
      <c r="I25" s="4"/>
      <c r="K25" s="28" t="s">
        <v>134</v>
      </c>
      <c r="L25" s="42" t="s">
        <v>127</v>
      </c>
      <c r="M25" s="42" t="s">
        <v>128</v>
      </c>
      <c r="N25" s="42">
        <v>1</v>
      </c>
      <c r="O25" s="42" t="s">
        <v>129</v>
      </c>
      <c r="P25" s="42" t="s">
        <v>130</v>
      </c>
      <c r="Q25" s="42">
        <v>2</v>
      </c>
      <c r="R25" s="42" t="s">
        <v>131</v>
      </c>
      <c r="S25" s="42">
        <v>3</v>
      </c>
      <c r="T25" s="42" t="s">
        <v>132</v>
      </c>
      <c r="U25" s="42">
        <v>4</v>
      </c>
      <c r="V25" s="42" t="s">
        <v>133</v>
      </c>
      <c r="W25" s="42">
        <v>5</v>
      </c>
      <c r="X25" s="42">
        <v>6</v>
      </c>
      <c r="Y25" s="42">
        <v>8</v>
      </c>
      <c r="Z25" s="42">
        <v>10</v>
      </c>
      <c r="AA25" s="42">
        <v>12</v>
      </c>
    </row>
    <row r="26" spans="1:36" ht="25.5" customHeight="1" thickTop="1" thickBot="1" x14ac:dyDescent="0.25">
      <c r="A26" s="11" t="s">
        <v>1</v>
      </c>
      <c r="B26" s="654" t="s">
        <v>3</v>
      </c>
      <c r="C26" s="654" t="s">
        <v>4</v>
      </c>
      <c r="D26" s="654" t="s">
        <v>5</v>
      </c>
      <c r="E26" s="654" t="s">
        <v>6</v>
      </c>
      <c r="F26" s="11" t="s">
        <v>7</v>
      </c>
      <c r="G26" s="11" t="s">
        <v>9</v>
      </c>
      <c r="H26" s="4"/>
      <c r="I26" s="4"/>
      <c r="K26" s="43" t="s">
        <v>100</v>
      </c>
      <c r="L26" s="44">
        <v>21</v>
      </c>
      <c r="M26" s="44">
        <v>27</v>
      </c>
      <c r="N26" s="44">
        <v>34</v>
      </c>
      <c r="O26" s="44">
        <v>42</v>
      </c>
      <c r="P26" s="44">
        <v>48</v>
      </c>
      <c r="Q26" s="44">
        <v>60</v>
      </c>
      <c r="R26" s="44">
        <v>73</v>
      </c>
      <c r="S26" s="44">
        <v>89</v>
      </c>
      <c r="T26" s="44">
        <v>102</v>
      </c>
      <c r="U26" s="44">
        <v>114</v>
      </c>
      <c r="V26" s="44">
        <v>127</v>
      </c>
      <c r="W26" s="44">
        <v>141</v>
      </c>
      <c r="X26" s="44">
        <v>168</v>
      </c>
      <c r="Y26" s="44">
        <v>219</v>
      </c>
      <c r="Z26" s="44">
        <v>273</v>
      </c>
      <c r="AA26" s="44">
        <v>324</v>
      </c>
    </row>
    <row r="27" spans="1:36" ht="27.75" customHeight="1" thickTop="1" thickBot="1" x14ac:dyDescent="0.25">
      <c r="A27" s="108" t="s">
        <v>2</v>
      </c>
      <c r="B27" s="655"/>
      <c r="C27" s="655"/>
      <c r="D27" s="655"/>
      <c r="E27" s="655"/>
      <c r="F27" s="108" t="s">
        <v>8</v>
      </c>
      <c r="G27" s="108" t="s">
        <v>8</v>
      </c>
      <c r="H27" s="4"/>
      <c r="I27" s="24" t="s">
        <v>84</v>
      </c>
      <c r="K27" s="28" t="s">
        <v>99</v>
      </c>
      <c r="L27" s="30">
        <v>15</v>
      </c>
      <c r="M27" s="30">
        <v>20</v>
      </c>
      <c r="N27" s="30">
        <v>25</v>
      </c>
      <c r="O27" s="30">
        <v>32</v>
      </c>
      <c r="P27" s="30">
        <v>40</v>
      </c>
      <c r="Q27" s="30">
        <v>50</v>
      </c>
      <c r="R27" s="30">
        <v>65</v>
      </c>
      <c r="S27" s="30">
        <v>80</v>
      </c>
      <c r="T27" s="30">
        <v>90</v>
      </c>
      <c r="U27" s="30">
        <v>100</v>
      </c>
      <c r="V27" s="30">
        <v>115</v>
      </c>
      <c r="W27" s="30">
        <v>125</v>
      </c>
      <c r="X27" s="30">
        <v>150</v>
      </c>
      <c r="Y27" s="30">
        <v>200</v>
      </c>
      <c r="Z27" s="30">
        <v>250</v>
      </c>
      <c r="AA27" s="30">
        <v>300</v>
      </c>
    </row>
    <row r="28" spans="1:36" ht="16.05" customHeight="1" thickTop="1" thickBot="1" x14ac:dyDescent="0.25">
      <c r="A28" s="673" t="s">
        <v>95</v>
      </c>
      <c r="B28" s="674"/>
      <c r="C28" s="674"/>
      <c r="D28" s="674"/>
      <c r="E28" s="675"/>
      <c r="F28" s="675"/>
      <c r="G28" s="112"/>
      <c r="H28" s="177" t="e">
        <f>SUM(H29:H36)</f>
        <v>#REF!</v>
      </c>
      <c r="I28" s="12" t="s">
        <v>85</v>
      </c>
      <c r="J28" s="46" t="s">
        <v>98</v>
      </c>
      <c r="K28" s="45" t="s">
        <v>126</v>
      </c>
      <c r="L28" s="632" t="s">
        <v>157</v>
      </c>
      <c r="M28" s="633"/>
      <c r="N28" s="633"/>
      <c r="O28" s="633"/>
      <c r="P28" s="633"/>
      <c r="Q28" s="633"/>
      <c r="R28" s="633"/>
      <c r="S28" s="633"/>
      <c r="T28" s="633"/>
      <c r="U28" s="633"/>
      <c r="V28" s="633"/>
      <c r="W28" s="633"/>
      <c r="X28" s="633"/>
      <c r="Y28" s="633"/>
      <c r="Z28" s="633"/>
      <c r="AA28" s="634"/>
      <c r="AJ28" s="47"/>
    </row>
    <row r="29" spans="1:36" ht="16.05" customHeight="1" thickTop="1" thickBot="1" x14ac:dyDescent="0.25">
      <c r="A29" s="109"/>
      <c r="B29" s="110">
        <v>150211</v>
      </c>
      <c r="C29" s="111" t="s">
        <v>74</v>
      </c>
      <c r="D29" s="110" t="s">
        <v>81</v>
      </c>
      <c r="E29" s="102" t="e">
        <f>IF(E14="x",HLOOKUP($G$22,$L$42:$AA$53,MATCH($D$22,$J$42:$J$53,0)+MATCH($E$22,$K$45:$K$47,0)-1,0),0)</f>
        <v>#REF!</v>
      </c>
      <c r="F29" s="120">
        <v>5.5</v>
      </c>
      <c r="G29" s="121" t="e">
        <f t="shared" ref="G29:G36" si="0">E29*F29</f>
        <v>#REF!</v>
      </c>
      <c r="H29" s="188" t="e">
        <f t="shared" ref="H29:H36" si="1">E29</f>
        <v>#REF!</v>
      </c>
      <c r="I29" s="119" t="e">
        <f>E29*11</f>
        <v>#REF!</v>
      </c>
      <c r="J29" s="76">
        <v>20</v>
      </c>
      <c r="K29" s="35">
        <v>-20</v>
      </c>
      <c r="L29" s="32">
        <v>7.7</v>
      </c>
      <c r="M29" s="32">
        <v>9</v>
      </c>
      <c r="N29" s="32">
        <v>10.5</v>
      </c>
      <c r="O29" s="32">
        <v>12.2</v>
      </c>
      <c r="P29" s="32">
        <v>13.5</v>
      </c>
      <c r="Q29" s="32">
        <v>16</v>
      </c>
      <c r="R29" s="32">
        <v>18.7</v>
      </c>
      <c r="S29" s="32">
        <v>22</v>
      </c>
      <c r="T29" s="32">
        <v>24.7</v>
      </c>
      <c r="U29" s="32">
        <v>27.1</v>
      </c>
      <c r="V29" s="32">
        <v>30</v>
      </c>
      <c r="W29" s="32">
        <v>33</v>
      </c>
      <c r="X29" s="32">
        <v>38</v>
      </c>
      <c r="Y29" s="32">
        <v>49</v>
      </c>
      <c r="Z29" s="32">
        <v>60</v>
      </c>
      <c r="AA29" s="32">
        <v>70</v>
      </c>
      <c r="AH29" s="179" t="e">
        <f>E29</f>
        <v>#REF!</v>
      </c>
      <c r="AI29" s="186" t="e">
        <f>AH29</f>
        <v>#REF!</v>
      </c>
      <c r="AJ29" s="47"/>
    </row>
    <row r="30" spans="1:36" ht="16.05" customHeight="1" thickTop="1" thickBot="1" x14ac:dyDescent="0.25">
      <c r="A30" s="53"/>
      <c r="B30" s="49">
        <v>150217</v>
      </c>
      <c r="C30" s="90" t="s">
        <v>75</v>
      </c>
      <c r="D30" s="48" t="s">
        <v>81</v>
      </c>
      <c r="E30" s="94" t="e">
        <f>IF(E15="x",HLOOKUP($G$22,$L$59:$AA$70,MATCH($D$22,$J$59:$J$70,0)+MATCH($E$22,$K$62:$K$64,0)-1,0),0)</f>
        <v>#REF!</v>
      </c>
      <c r="F30" s="122">
        <v>5.5</v>
      </c>
      <c r="G30" s="123" t="e">
        <f t="shared" si="0"/>
        <v>#REF!</v>
      </c>
      <c r="H30" s="188" t="e">
        <f t="shared" si="1"/>
        <v>#REF!</v>
      </c>
      <c r="I30" s="119" t="e">
        <f>E30*17</f>
        <v>#REF!</v>
      </c>
      <c r="J30" s="77">
        <v>20</v>
      </c>
      <c r="K30" s="36">
        <v>-25</v>
      </c>
      <c r="L30" s="33">
        <v>9.1999999999999993</v>
      </c>
      <c r="M30" s="33">
        <v>10.8</v>
      </c>
      <c r="N30" s="33">
        <v>12.6</v>
      </c>
      <c r="O30" s="33">
        <v>14.6</v>
      </c>
      <c r="P30" s="33">
        <v>16.2</v>
      </c>
      <c r="Q30" s="33">
        <v>19.2</v>
      </c>
      <c r="R30" s="33">
        <v>22.4</v>
      </c>
      <c r="S30" s="33">
        <v>26.4</v>
      </c>
      <c r="T30" s="33">
        <v>30</v>
      </c>
      <c r="U30" s="33">
        <v>33</v>
      </c>
      <c r="V30" s="33">
        <v>36</v>
      </c>
      <c r="W30" s="33">
        <v>39</v>
      </c>
      <c r="X30" s="33">
        <v>46</v>
      </c>
      <c r="Y30" s="33">
        <v>58</v>
      </c>
      <c r="Z30" s="33">
        <v>72</v>
      </c>
      <c r="AA30" s="33">
        <v>84</v>
      </c>
      <c r="AH30" s="179" t="e">
        <f t="shared" ref="AH30:AH36" si="2">E30</f>
        <v>#REF!</v>
      </c>
      <c r="AI30" s="186" t="e">
        <f t="shared" ref="AI30:AI36" si="3">AH30</f>
        <v>#REF!</v>
      </c>
    </row>
    <row r="31" spans="1:36" ht="16.05" customHeight="1" thickTop="1" thickBot="1" x14ac:dyDescent="0.25">
      <c r="A31" s="53"/>
      <c r="B31" s="51">
        <v>151020</v>
      </c>
      <c r="C31" s="52" t="s">
        <v>38</v>
      </c>
      <c r="D31" s="48" t="s">
        <v>81</v>
      </c>
      <c r="E31" s="94"/>
      <c r="F31" s="124">
        <v>6.6</v>
      </c>
      <c r="G31" s="123">
        <f t="shared" si="0"/>
        <v>0</v>
      </c>
      <c r="H31" s="188">
        <f t="shared" si="1"/>
        <v>0</v>
      </c>
      <c r="I31" s="119">
        <f>E31*20</f>
        <v>0</v>
      </c>
      <c r="J31" s="78">
        <v>20</v>
      </c>
      <c r="K31" s="37">
        <v>-35</v>
      </c>
      <c r="L31" s="34">
        <v>12.2</v>
      </c>
      <c r="M31" s="34">
        <v>14.4</v>
      </c>
      <c r="N31" s="34">
        <v>16.8</v>
      </c>
      <c r="O31" s="34">
        <v>19.5</v>
      </c>
      <c r="P31" s="34">
        <v>21.6</v>
      </c>
      <c r="Q31" s="34">
        <v>25.6</v>
      </c>
      <c r="R31" s="34">
        <v>30</v>
      </c>
      <c r="S31" s="34">
        <v>35</v>
      </c>
      <c r="T31" s="34">
        <v>39</v>
      </c>
      <c r="U31" s="34">
        <v>43</v>
      </c>
      <c r="V31" s="34">
        <v>48</v>
      </c>
      <c r="W31" s="34">
        <v>52</v>
      </c>
      <c r="X31" s="34">
        <v>61</v>
      </c>
      <c r="Y31" s="34">
        <v>78</v>
      </c>
      <c r="Z31" s="34">
        <v>96</v>
      </c>
      <c r="AA31" s="34">
        <v>112</v>
      </c>
      <c r="AH31" s="179">
        <f t="shared" si="2"/>
        <v>0</v>
      </c>
      <c r="AI31" s="186">
        <f t="shared" si="3"/>
        <v>0</v>
      </c>
    </row>
    <row r="32" spans="1:36" ht="16.05" customHeight="1" thickTop="1" thickBot="1" x14ac:dyDescent="0.25">
      <c r="A32" s="53"/>
      <c r="B32" s="51">
        <v>159000</v>
      </c>
      <c r="C32" s="52" t="s">
        <v>76</v>
      </c>
      <c r="D32" s="48" t="s">
        <v>81</v>
      </c>
      <c r="E32" s="94"/>
      <c r="F32" s="124">
        <v>6.6</v>
      </c>
      <c r="G32" s="123">
        <f t="shared" si="0"/>
        <v>0</v>
      </c>
      <c r="H32" s="188">
        <f t="shared" si="1"/>
        <v>0</v>
      </c>
      <c r="I32" s="119">
        <f>E32*10</f>
        <v>0</v>
      </c>
      <c r="J32" s="76">
        <v>30</v>
      </c>
      <c r="K32" s="35">
        <v>-20</v>
      </c>
      <c r="L32" s="32">
        <v>6</v>
      </c>
      <c r="M32" s="32">
        <v>7</v>
      </c>
      <c r="N32" s="32">
        <v>8</v>
      </c>
      <c r="O32" s="32">
        <v>9.1999999999999993</v>
      </c>
      <c r="P32" s="32">
        <v>10.1</v>
      </c>
      <c r="Q32" s="32">
        <v>11.8</v>
      </c>
      <c r="R32" s="32">
        <v>13.6</v>
      </c>
      <c r="S32" s="32">
        <v>15.8</v>
      </c>
      <c r="T32" s="32">
        <v>17.600000000000001</v>
      </c>
      <c r="U32" s="32">
        <v>19.3</v>
      </c>
      <c r="V32" s="32">
        <v>21.1</v>
      </c>
      <c r="W32" s="32">
        <v>23</v>
      </c>
      <c r="X32" s="32">
        <v>26.7</v>
      </c>
      <c r="Y32" s="32">
        <v>34</v>
      </c>
      <c r="Z32" s="32">
        <v>41</v>
      </c>
      <c r="AA32" s="32">
        <v>48</v>
      </c>
      <c r="AD32" s="14"/>
      <c r="AH32" s="179">
        <f t="shared" si="2"/>
        <v>0</v>
      </c>
      <c r="AI32" s="186">
        <f t="shared" si="3"/>
        <v>0</v>
      </c>
    </row>
    <row r="33" spans="1:47" ht="16.05" customHeight="1" thickTop="1" thickBot="1" x14ac:dyDescent="0.25">
      <c r="A33" s="53"/>
      <c r="B33" s="51">
        <v>159555</v>
      </c>
      <c r="C33" s="52" t="s">
        <v>77</v>
      </c>
      <c r="D33" s="48" t="s">
        <v>81</v>
      </c>
      <c r="E33" s="94"/>
      <c r="F33" s="124">
        <v>7.7</v>
      </c>
      <c r="G33" s="123">
        <f t="shared" si="0"/>
        <v>0</v>
      </c>
      <c r="H33" s="188">
        <f t="shared" si="1"/>
        <v>0</v>
      </c>
      <c r="I33" s="119">
        <f>E33*9</f>
        <v>0</v>
      </c>
      <c r="J33" s="77">
        <v>30</v>
      </c>
      <c r="K33" s="36">
        <v>-25</v>
      </c>
      <c r="L33" s="33">
        <v>6</v>
      </c>
      <c r="M33" s="33">
        <v>7</v>
      </c>
      <c r="N33" s="33">
        <v>8</v>
      </c>
      <c r="O33" s="33">
        <v>9.1999999999999993</v>
      </c>
      <c r="P33" s="33">
        <v>10.1</v>
      </c>
      <c r="Q33" s="33">
        <v>11.8</v>
      </c>
      <c r="R33" s="33">
        <v>13.6</v>
      </c>
      <c r="S33" s="33">
        <v>15.8</v>
      </c>
      <c r="T33" s="33">
        <v>17.600000000000001</v>
      </c>
      <c r="U33" s="33">
        <v>19.3</v>
      </c>
      <c r="V33" s="33">
        <v>21.1</v>
      </c>
      <c r="W33" s="33">
        <v>23</v>
      </c>
      <c r="X33" s="33">
        <v>26.7</v>
      </c>
      <c r="Y33" s="33">
        <v>34</v>
      </c>
      <c r="Z33" s="33">
        <v>41</v>
      </c>
      <c r="AA33" s="33">
        <v>48</v>
      </c>
      <c r="AH33" s="179">
        <f t="shared" si="2"/>
        <v>0</v>
      </c>
      <c r="AI33" s="186">
        <f t="shared" si="3"/>
        <v>0</v>
      </c>
      <c r="AM33" s="14"/>
    </row>
    <row r="34" spans="1:47" ht="16.05" customHeight="1" thickTop="1" thickBot="1" x14ac:dyDescent="0.25">
      <c r="A34" s="53"/>
      <c r="B34" s="51">
        <v>159565</v>
      </c>
      <c r="C34" s="52" t="s">
        <v>78</v>
      </c>
      <c r="D34" s="48" t="s">
        <v>81</v>
      </c>
      <c r="E34" s="94"/>
      <c r="F34" s="124">
        <v>7.7</v>
      </c>
      <c r="G34" s="123">
        <f t="shared" si="0"/>
        <v>0</v>
      </c>
      <c r="H34" s="188">
        <f t="shared" si="1"/>
        <v>0</v>
      </c>
      <c r="I34" s="119">
        <f>E34*12</f>
        <v>0</v>
      </c>
      <c r="J34" s="78">
        <v>30</v>
      </c>
      <c r="K34" s="37">
        <v>-35</v>
      </c>
      <c r="L34" s="34">
        <v>7.3</v>
      </c>
      <c r="M34" s="34">
        <v>8.4</v>
      </c>
      <c r="N34" s="34">
        <v>9.6</v>
      </c>
      <c r="O34" s="34">
        <v>11</v>
      </c>
      <c r="P34" s="34">
        <v>12.1</v>
      </c>
      <c r="Q34" s="34">
        <v>14.1</v>
      </c>
      <c r="R34" s="34">
        <v>16.3</v>
      </c>
      <c r="S34" s="34">
        <v>19</v>
      </c>
      <c r="T34" s="34">
        <v>21.2</v>
      </c>
      <c r="U34" s="34">
        <v>23.2</v>
      </c>
      <c r="V34" s="34">
        <v>25.3</v>
      </c>
      <c r="W34" s="34">
        <v>27.6</v>
      </c>
      <c r="X34" s="34">
        <v>32</v>
      </c>
      <c r="Y34" s="34">
        <v>40</v>
      </c>
      <c r="Z34" s="34">
        <v>49</v>
      </c>
      <c r="AA34" s="34">
        <v>58</v>
      </c>
      <c r="AH34" s="179">
        <f t="shared" si="2"/>
        <v>0</v>
      </c>
      <c r="AI34" s="186">
        <f t="shared" si="3"/>
        <v>0</v>
      </c>
      <c r="AM34" s="79"/>
      <c r="AS34" s="29"/>
      <c r="AT34" s="29"/>
      <c r="AU34" s="29"/>
    </row>
    <row r="35" spans="1:47" ht="16.05" customHeight="1" thickTop="1" thickBot="1" x14ac:dyDescent="0.25">
      <c r="A35" s="53"/>
      <c r="B35" s="51">
        <v>151025</v>
      </c>
      <c r="C35" s="52" t="s">
        <v>79</v>
      </c>
      <c r="D35" s="48" t="s">
        <v>81</v>
      </c>
      <c r="E35" s="94"/>
      <c r="F35" s="124">
        <v>6.6</v>
      </c>
      <c r="G35" s="123">
        <f t="shared" si="0"/>
        <v>0</v>
      </c>
      <c r="H35" s="188">
        <f t="shared" si="1"/>
        <v>0</v>
      </c>
      <c r="I35" s="119">
        <f>E35*25</f>
        <v>0</v>
      </c>
      <c r="J35" s="76">
        <v>50</v>
      </c>
      <c r="K35" s="35">
        <v>-20</v>
      </c>
      <c r="L35" s="32">
        <v>4.7</v>
      </c>
      <c r="M35" s="32">
        <v>5.3</v>
      </c>
      <c r="N35" s="32">
        <v>6</v>
      </c>
      <c r="O35" s="32">
        <v>6.7</v>
      </c>
      <c r="P35" s="32">
        <v>7.3</v>
      </c>
      <c r="Q35" s="32">
        <v>8.3000000000000007</v>
      </c>
      <c r="R35" s="32">
        <v>9.5</v>
      </c>
      <c r="S35" s="32">
        <v>10.8</v>
      </c>
      <c r="T35" s="32">
        <v>11.9</v>
      </c>
      <c r="U35" s="32">
        <v>13</v>
      </c>
      <c r="V35" s="32">
        <v>14.1</v>
      </c>
      <c r="W35" s="32">
        <v>15.2</v>
      </c>
      <c r="X35" s="32">
        <v>17.5</v>
      </c>
      <c r="Y35" s="32">
        <v>21.7</v>
      </c>
      <c r="Z35" s="32">
        <v>26.2</v>
      </c>
      <c r="AA35" s="32">
        <v>30.4</v>
      </c>
      <c r="AH35" s="179">
        <f t="shared" si="2"/>
        <v>0</v>
      </c>
      <c r="AI35" s="186">
        <f t="shared" si="3"/>
        <v>0</v>
      </c>
      <c r="AM35" s="14"/>
    </row>
    <row r="36" spans="1:47" ht="16.05" customHeight="1" thickTop="1" thickBot="1" x14ac:dyDescent="0.25">
      <c r="A36" s="113"/>
      <c r="B36" s="114">
        <v>151033</v>
      </c>
      <c r="C36" s="115" t="s">
        <v>80</v>
      </c>
      <c r="D36" s="116" t="s">
        <v>81</v>
      </c>
      <c r="E36" s="97"/>
      <c r="F36" s="125">
        <v>6.6</v>
      </c>
      <c r="G36" s="126">
        <f t="shared" si="0"/>
        <v>0</v>
      </c>
      <c r="H36" s="188">
        <f t="shared" si="1"/>
        <v>0</v>
      </c>
      <c r="I36" s="119">
        <f>E36*33</f>
        <v>0</v>
      </c>
      <c r="J36" s="77">
        <v>50</v>
      </c>
      <c r="K36" s="36">
        <v>-25</v>
      </c>
      <c r="L36" s="33">
        <v>5.6</v>
      </c>
      <c r="M36" s="33">
        <v>6.3</v>
      </c>
      <c r="N36" s="33">
        <v>7.1</v>
      </c>
      <c r="O36" s="33">
        <v>8</v>
      </c>
      <c r="P36" s="33">
        <v>8.6999999999999993</v>
      </c>
      <c r="Q36" s="33">
        <v>10</v>
      </c>
      <c r="R36" s="33">
        <v>11.4</v>
      </c>
      <c r="S36" s="33">
        <v>13</v>
      </c>
      <c r="T36" s="33">
        <v>14.3</v>
      </c>
      <c r="U36" s="33">
        <v>15.6</v>
      </c>
      <c r="V36" s="33">
        <v>16.899999999999999</v>
      </c>
      <c r="W36" s="33">
        <v>18.3</v>
      </c>
      <c r="X36" s="33">
        <v>21</v>
      </c>
      <c r="Y36" s="33">
        <v>26</v>
      </c>
      <c r="Z36" s="33">
        <v>31</v>
      </c>
      <c r="AA36" s="33">
        <v>36</v>
      </c>
      <c r="AH36" s="179">
        <f t="shared" si="2"/>
        <v>0</v>
      </c>
      <c r="AI36" s="186">
        <f t="shared" si="3"/>
        <v>0</v>
      </c>
      <c r="AM36" s="14"/>
    </row>
    <row r="37" spans="1:47" ht="16.05" customHeight="1" thickTop="1" thickBot="1" x14ac:dyDescent="0.25">
      <c r="A37" s="686" t="s">
        <v>146</v>
      </c>
      <c r="B37" s="687"/>
      <c r="C37" s="687"/>
      <c r="D37" s="687"/>
      <c r="E37" s="687"/>
      <c r="F37" s="687"/>
      <c r="G37" s="98"/>
      <c r="H37" s="177" t="e">
        <f>SUM(H38:H47)</f>
        <v>#REF!</v>
      </c>
      <c r="I37" s="119"/>
      <c r="J37" s="78">
        <v>50</v>
      </c>
      <c r="K37" s="37">
        <v>-35</v>
      </c>
      <c r="L37" s="34">
        <v>7.5</v>
      </c>
      <c r="M37" s="34">
        <v>8.4</v>
      </c>
      <c r="N37" s="34">
        <v>9.5</v>
      </c>
      <c r="O37" s="34">
        <v>10.7</v>
      </c>
      <c r="P37" s="34">
        <v>11.6</v>
      </c>
      <c r="Q37" s="34">
        <v>13.3</v>
      </c>
      <c r="R37" s="34">
        <v>15.1</v>
      </c>
      <c r="S37" s="34">
        <v>17.3</v>
      </c>
      <c r="T37" s="34">
        <v>19.100000000000001</v>
      </c>
      <c r="U37" s="34">
        <v>20.7</v>
      </c>
      <c r="V37" s="34">
        <v>22.5</v>
      </c>
      <c r="W37" s="34">
        <v>24.4</v>
      </c>
      <c r="X37" s="34">
        <v>28</v>
      </c>
      <c r="Y37" s="34">
        <v>35</v>
      </c>
      <c r="Z37" s="34">
        <v>42</v>
      </c>
      <c r="AA37" s="34">
        <v>49</v>
      </c>
      <c r="AH37" s="178"/>
      <c r="AM37" s="14"/>
    </row>
    <row r="38" spans="1:47" ht="16.05" customHeight="1" x14ac:dyDescent="0.2">
      <c r="A38" s="99"/>
      <c r="B38" s="176">
        <v>220300</v>
      </c>
      <c r="C38" s="101" t="s">
        <v>147</v>
      </c>
      <c r="D38" s="100" t="s">
        <v>10</v>
      </c>
      <c r="E38" s="102" t="e">
        <f>IF(AND(E18="x",F22&lt;15,J22&lt;300),1,0)</f>
        <v>#REF!</v>
      </c>
      <c r="F38" s="124">
        <v>26.950000000000003</v>
      </c>
      <c r="G38" s="123" t="e">
        <f t="shared" ref="G38:G47" si="4">E38*F38</f>
        <v>#REF!</v>
      </c>
      <c r="H38" s="188" t="e">
        <f t="shared" ref="H38:H44" si="5">E38</f>
        <v>#REF!</v>
      </c>
      <c r="I38" s="119" t="e">
        <f>E38*300</f>
        <v>#REF!</v>
      </c>
      <c r="J38" s="19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H38" s="180">
        <v>15</v>
      </c>
      <c r="AI38" s="186" t="e">
        <f>AH38*E38</f>
        <v>#REF!</v>
      </c>
      <c r="AM38" s="14"/>
    </row>
    <row r="39" spans="1:47" ht="16.05" customHeight="1" thickBot="1" x14ac:dyDescent="0.25">
      <c r="A39" s="58"/>
      <c r="B39" s="174">
        <v>220500</v>
      </c>
      <c r="C39" s="55" t="s">
        <v>148</v>
      </c>
      <c r="D39" s="54" t="s">
        <v>10</v>
      </c>
      <c r="E39" s="94" t="e">
        <f>IF(AND(E18="x",F22&lt;25,J22&lt;500,SUM(E38:E38)&lt;1),1,0)</f>
        <v>#REF!</v>
      </c>
      <c r="F39" s="124">
        <v>40.04</v>
      </c>
      <c r="G39" s="123" t="e">
        <f t="shared" si="4"/>
        <v>#REF!</v>
      </c>
      <c r="H39" s="188" t="e">
        <f t="shared" si="5"/>
        <v>#REF!</v>
      </c>
      <c r="I39" s="119" t="e">
        <f>E39*500</f>
        <v>#REF!</v>
      </c>
      <c r="J39" s="19"/>
      <c r="K39" s="693" t="s">
        <v>135</v>
      </c>
      <c r="L39" s="694"/>
      <c r="M39" s="694"/>
      <c r="N39" s="694"/>
      <c r="O39" s="694"/>
      <c r="P39" s="694"/>
      <c r="Q39" s="694"/>
      <c r="R39" s="694"/>
      <c r="S39" s="694"/>
      <c r="T39" s="694"/>
      <c r="U39" s="694"/>
      <c r="V39" s="694"/>
      <c r="W39" s="694"/>
      <c r="X39" s="694"/>
      <c r="Y39" s="694"/>
      <c r="Z39" s="694"/>
      <c r="AA39" s="694"/>
      <c r="AH39" s="181">
        <v>25</v>
      </c>
      <c r="AI39" s="186" t="e">
        <f t="shared" ref="AI39:AI70" si="6">AH39*E39</f>
        <v>#REF!</v>
      </c>
      <c r="AM39" s="14"/>
    </row>
    <row r="40" spans="1:47" ht="16.05" customHeight="1" thickTop="1" thickBot="1" x14ac:dyDescent="0.25">
      <c r="A40" s="58"/>
      <c r="B40" s="174">
        <v>221000</v>
      </c>
      <c r="C40" s="55" t="s">
        <v>149</v>
      </c>
      <c r="D40" s="54" t="s">
        <v>10</v>
      </c>
      <c r="E40" s="94" t="e">
        <f>IF(AND(E18="x",F22&lt;50,J22&lt;1000,SUM(E38:E39)&lt;1),1,0)</f>
        <v>#REF!</v>
      </c>
      <c r="F40" s="124">
        <v>81.290000000000006</v>
      </c>
      <c r="G40" s="123" t="e">
        <f t="shared" si="4"/>
        <v>#REF!</v>
      </c>
      <c r="H40" s="188" t="e">
        <f t="shared" si="5"/>
        <v>#REF!</v>
      </c>
      <c r="I40" s="119" t="e">
        <f>E40*1000</f>
        <v>#REF!</v>
      </c>
      <c r="J40" s="19"/>
      <c r="K40" s="635" t="s">
        <v>90</v>
      </c>
      <c r="L40" s="636"/>
      <c r="M40" s="636"/>
      <c r="N40" s="636"/>
      <c r="O40" s="636"/>
      <c r="P40" s="636"/>
      <c r="Q40" s="636"/>
      <c r="R40" s="636"/>
      <c r="S40" s="636"/>
      <c r="T40" s="636"/>
      <c r="U40" s="636"/>
      <c r="V40" s="636"/>
      <c r="W40" s="636"/>
      <c r="X40" s="636"/>
      <c r="Y40" s="636"/>
      <c r="Z40" s="636"/>
      <c r="AA40" s="637"/>
      <c r="AH40" s="181">
        <v>50</v>
      </c>
      <c r="AI40" s="186" t="e">
        <f t="shared" si="6"/>
        <v>#REF!</v>
      </c>
      <c r="AM40" s="14"/>
    </row>
    <row r="41" spans="1:47" ht="16.05" customHeight="1" thickTop="1" thickBot="1" x14ac:dyDescent="0.25">
      <c r="A41" s="58"/>
      <c r="B41" s="174">
        <v>221200</v>
      </c>
      <c r="C41" s="55" t="s">
        <v>151</v>
      </c>
      <c r="D41" s="54" t="s">
        <v>10</v>
      </c>
      <c r="E41" s="94" t="e">
        <f>IF(AND(E18="x",F22&lt;60,J22&lt;1200,SUM(E38:E40)&lt;1),1,0)</f>
        <v>#REF!</v>
      </c>
      <c r="F41" s="124">
        <v>98.890000000000015</v>
      </c>
      <c r="G41" s="123" t="e">
        <f t="shared" si="4"/>
        <v>#REF!</v>
      </c>
      <c r="H41" s="188" t="e">
        <f t="shared" si="5"/>
        <v>#REF!</v>
      </c>
      <c r="I41" s="119" t="e">
        <f>E41*1250</f>
        <v>#REF!</v>
      </c>
      <c r="J41" s="19"/>
      <c r="K41" s="28" t="s">
        <v>134</v>
      </c>
      <c r="L41" s="42" t="s">
        <v>127</v>
      </c>
      <c r="M41" s="42" t="s">
        <v>128</v>
      </c>
      <c r="N41" s="42">
        <v>1</v>
      </c>
      <c r="O41" s="42" t="s">
        <v>129</v>
      </c>
      <c r="P41" s="42" t="s">
        <v>130</v>
      </c>
      <c r="Q41" s="42">
        <v>2</v>
      </c>
      <c r="R41" s="42" t="s">
        <v>131</v>
      </c>
      <c r="S41" s="42">
        <v>3</v>
      </c>
      <c r="T41" s="42" t="s">
        <v>132</v>
      </c>
      <c r="U41" s="42">
        <v>4</v>
      </c>
      <c r="V41" s="42" t="s">
        <v>133</v>
      </c>
      <c r="W41" s="42">
        <v>5</v>
      </c>
      <c r="X41" s="42">
        <v>6</v>
      </c>
      <c r="Y41" s="42">
        <v>8</v>
      </c>
      <c r="Z41" s="42">
        <v>10</v>
      </c>
      <c r="AA41" s="42">
        <v>12</v>
      </c>
      <c r="AH41" s="181">
        <v>60</v>
      </c>
      <c r="AI41" s="186" t="e">
        <f t="shared" si="6"/>
        <v>#REF!</v>
      </c>
      <c r="AM41" s="14"/>
    </row>
    <row r="42" spans="1:47" ht="16.05" customHeight="1" thickTop="1" thickBot="1" x14ac:dyDescent="0.25">
      <c r="A42" s="58"/>
      <c r="B42" s="174">
        <v>221600</v>
      </c>
      <c r="C42" s="55" t="s">
        <v>150</v>
      </c>
      <c r="D42" s="54" t="s">
        <v>10</v>
      </c>
      <c r="E42" s="94" t="e">
        <f>IF(AND(E18="x",F22&lt;80,J22&lt;1600,SUM(E38:E41)&lt;1),1,0)</f>
        <v>#REF!</v>
      </c>
      <c r="F42" s="124">
        <v>137.83000000000001</v>
      </c>
      <c r="G42" s="123" t="e">
        <f t="shared" si="4"/>
        <v>#REF!</v>
      </c>
      <c r="H42" s="188" t="e">
        <f t="shared" si="5"/>
        <v>#REF!</v>
      </c>
      <c r="I42" s="119" t="e">
        <f>E42*1500</f>
        <v>#REF!</v>
      </c>
      <c r="J42" s="19"/>
      <c r="K42" s="43" t="s">
        <v>100</v>
      </c>
      <c r="L42" s="44">
        <v>21</v>
      </c>
      <c r="M42" s="44">
        <v>27</v>
      </c>
      <c r="N42" s="44">
        <v>34</v>
      </c>
      <c r="O42" s="44">
        <v>42</v>
      </c>
      <c r="P42" s="44">
        <v>48</v>
      </c>
      <c r="Q42" s="44">
        <v>60</v>
      </c>
      <c r="R42" s="44">
        <v>73</v>
      </c>
      <c r="S42" s="44">
        <v>89</v>
      </c>
      <c r="T42" s="44">
        <v>102</v>
      </c>
      <c r="U42" s="44">
        <v>114</v>
      </c>
      <c r="V42" s="44">
        <v>127</v>
      </c>
      <c r="W42" s="44">
        <v>141</v>
      </c>
      <c r="X42" s="44">
        <v>168</v>
      </c>
      <c r="Y42" s="44">
        <v>219</v>
      </c>
      <c r="Z42" s="44">
        <v>273</v>
      </c>
      <c r="AA42" s="44">
        <v>324</v>
      </c>
      <c r="AH42" s="181">
        <v>80</v>
      </c>
      <c r="AI42" s="186" t="e">
        <f t="shared" si="6"/>
        <v>#REF!</v>
      </c>
      <c r="AM42" s="14"/>
    </row>
    <row r="43" spans="1:47" ht="16.05" customHeight="1" thickTop="1" thickBot="1" x14ac:dyDescent="0.25">
      <c r="A43" s="58"/>
      <c r="B43" s="174">
        <v>221800</v>
      </c>
      <c r="C43" s="55" t="s">
        <v>156</v>
      </c>
      <c r="D43" s="54" t="s">
        <v>10</v>
      </c>
      <c r="E43" s="94" t="e">
        <f>IF(AND(E18="x",F22&lt;90,J22&lt;1800,SUM(E38:E42)&lt;1),1,0)</f>
        <v>#REF!</v>
      </c>
      <c r="F43" s="124">
        <v>155.21</v>
      </c>
      <c r="G43" s="123" t="e">
        <f t="shared" si="4"/>
        <v>#REF!</v>
      </c>
      <c r="H43" s="188" t="e">
        <f t="shared" si="5"/>
        <v>#REF!</v>
      </c>
      <c r="I43" s="119" t="e">
        <f>E43*1700</f>
        <v>#REF!</v>
      </c>
      <c r="J43" s="19"/>
      <c r="K43" s="16" t="s">
        <v>99</v>
      </c>
      <c r="L43" s="30">
        <v>15</v>
      </c>
      <c r="M43" s="30">
        <v>20</v>
      </c>
      <c r="N43" s="30">
        <v>25</v>
      </c>
      <c r="O43" s="30">
        <v>32</v>
      </c>
      <c r="P43" s="30">
        <v>40</v>
      </c>
      <c r="Q43" s="30">
        <v>50</v>
      </c>
      <c r="R43" s="30">
        <v>65</v>
      </c>
      <c r="S43" s="30">
        <v>80</v>
      </c>
      <c r="T43" s="30">
        <v>90</v>
      </c>
      <c r="U43" s="30">
        <v>100</v>
      </c>
      <c r="V43" s="30">
        <v>115</v>
      </c>
      <c r="W43" s="30">
        <v>125</v>
      </c>
      <c r="X43" s="30">
        <v>150</v>
      </c>
      <c r="Y43" s="30">
        <v>200</v>
      </c>
      <c r="Z43" s="30">
        <v>250</v>
      </c>
      <c r="AA43" s="30">
        <v>300</v>
      </c>
      <c r="AH43" s="181">
        <v>90</v>
      </c>
      <c r="AI43" s="186" t="e">
        <f t="shared" si="6"/>
        <v>#REF!</v>
      </c>
      <c r="AM43" s="14"/>
    </row>
    <row r="44" spans="1:47" ht="16.05" customHeight="1" thickTop="1" thickBot="1" x14ac:dyDescent="0.25">
      <c r="A44" s="58"/>
      <c r="B44" s="174">
        <v>222000</v>
      </c>
      <c r="C44" s="55" t="s">
        <v>155</v>
      </c>
      <c r="D44" s="54" t="s">
        <v>10</v>
      </c>
      <c r="E44" s="94" t="e">
        <f>IF(AND(E18="x",F22&lt;100,J22&lt;2000,SUM(E38:E43)&lt;1),1,0)</f>
        <v>#REF!</v>
      </c>
      <c r="F44" s="124">
        <v>173.14000000000001</v>
      </c>
      <c r="G44" s="123" t="e">
        <f t="shared" si="4"/>
        <v>#REF!</v>
      </c>
      <c r="H44" s="188" t="e">
        <f t="shared" si="5"/>
        <v>#REF!</v>
      </c>
      <c r="I44" s="119" t="e">
        <f>E44*2100</f>
        <v>#REF!</v>
      </c>
      <c r="J44" s="19"/>
      <c r="K44" s="31" t="s">
        <v>126</v>
      </c>
      <c r="L44" s="690" t="s">
        <v>144</v>
      </c>
      <c r="M44" s="691"/>
      <c r="N44" s="691"/>
      <c r="O44" s="691"/>
      <c r="P44" s="691"/>
      <c r="Q44" s="691"/>
      <c r="R44" s="691"/>
      <c r="S44" s="691"/>
      <c r="T44" s="691"/>
      <c r="U44" s="691"/>
      <c r="V44" s="691"/>
      <c r="W44" s="691"/>
      <c r="X44" s="691"/>
      <c r="Y44" s="691"/>
      <c r="Z44" s="691"/>
      <c r="AA44" s="692"/>
      <c r="AH44" s="181">
        <v>100</v>
      </c>
      <c r="AI44" s="186" t="e">
        <f t="shared" si="6"/>
        <v>#REF!</v>
      </c>
      <c r="AM44" s="80"/>
    </row>
    <row r="45" spans="1:47" ht="16.05" customHeight="1" x14ac:dyDescent="0.2">
      <c r="A45" s="58"/>
      <c r="B45" s="174">
        <v>222400</v>
      </c>
      <c r="C45" s="55" t="s">
        <v>154</v>
      </c>
      <c r="D45" s="54" t="s">
        <v>10</v>
      </c>
      <c r="E45" s="94" t="e">
        <f>IF(AND(E18="x",F22&lt;120,J22&lt;2400,SUM(E38:E44)&lt;1),1,0)</f>
        <v>#REF!</v>
      </c>
      <c r="F45" s="124">
        <v>144.98000000000002</v>
      </c>
      <c r="G45" s="123" t="e">
        <f t="shared" si="4"/>
        <v>#REF!</v>
      </c>
      <c r="H45" s="188" t="e">
        <f>E45</f>
        <v>#REF!</v>
      </c>
      <c r="I45" s="119" t="e">
        <f>E45*2600</f>
        <v>#REF!</v>
      </c>
      <c r="J45" s="76">
        <v>20</v>
      </c>
      <c r="K45" s="83">
        <v>-20</v>
      </c>
      <c r="L45" s="83" t="e">
        <f>F22</f>
        <v>#REF!</v>
      </c>
      <c r="M45" s="83" t="e">
        <f>F22</f>
        <v>#REF!</v>
      </c>
      <c r="N45" s="83" t="e">
        <f>F22</f>
        <v>#REF!</v>
      </c>
      <c r="O45" s="83" t="e">
        <f>(ROUNDUP(F22*O29/11,0))</f>
        <v>#REF!</v>
      </c>
      <c r="P45" s="83" t="e">
        <f>(ROUNDUP(F22*P29/11,0))</f>
        <v>#REF!</v>
      </c>
      <c r="Q45" s="83" t="e">
        <f>(ROUNDUP(F22*Q29/11,0))</f>
        <v>#REF!</v>
      </c>
      <c r="R45" s="83" t="e">
        <f>(ROUNDUP(F22*R29/11,0))</f>
        <v>#REF!</v>
      </c>
      <c r="S45" s="83" t="e">
        <f>(ROUNDUP(F22*S29/11,0))</f>
        <v>#REF!</v>
      </c>
      <c r="T45" s="83" t="e">
        <f>(ROUNDUP(F22*T29/11,0))</f>
        <v>#REF!</v>
      </c>
      <c r="U45" s="83" t="e">
        <f>(ROUNDUP(F22*U29/11,0))</f>
        <v>#REF!</v>
      </c>
      <c r="V45" s="83" t="e">
        <f>(ROUNDUP(F22*V29/11,0))</f>
        <v>#REF!</v>
      </c>
      <c r="W45" s="83" t="e">
        <f>(ROUNDUP(F22*W29/11,0))</f>
        <v>#REF!</v>
      </c>
      <c r="X45" s="83" t="e">
        <f>(ROUNDUP(F22*X29/11,0))</f>
        <v>#REF!</v>
      </c>
      <c r="Y45" s="83" t="e">
        <f>(ROUNDUP(F22*Y29/11,0))</f>
        <v>#REF!</v>
      </c>
      <c r="Z45" s="83" t="e">
        <f>(ROUNDUP(F22*Z29/11,0))</f>
        <v>#REF!</v>
      </c>
      <c r="AA45" s="84" t="e">
        <f>(ROUNDUP(F22*AA29/11,0))</f>
        <v>#REF!</v>
      </c>
      <c r="AH45" s="181">
        <v>120</v>
      </c>
      <c r="AI45" s="186" t="e">
        <f t="shared" si="6"/>
        <v>#REF!</v>
      </c>
      <c r="AM45" s="79"/>
    </row>
    <row r="46" spans="1:47" ht="16.05" customHeight="1" x14ac:dyDescent="0.2">
      <c r="A46" s="58"/>
      <c r="B46" s="174">
        <v>222800</v>
      </c>
      <c r="C46" s="55" t="s">
        <v>153</v>
      </c>
      <c r="D46" s="54" t="s">
        <v>10</v>
      </c>
      <c r="E46" s="94" t="e">
        <f>IF(AND(E18="x",F22&lt;140,J22&lt;2800,SUM(E38:E45)&lt;1),1,0)</f>
        <v>#REF!</v>
      </c>
      <c r="F46" s="124">
        <v>251.90000000000003</v>
      </c>
      <c r="G46" s="123" t="e">
        <f t="shared" si="4"/>
        <v>#REF!</v>
      </c>
      <c r="H46" s="188" t="e">
        <f t="shared" ref="H46:H47" si="7">E46</f>
        <v>#REF!</v>
      </c>
      <c r="I46" s="119" t="e">
        <f>E46*2900</f>
        <v>#REF!</v>
      </c>
      <c r="J46" s="77">
        <v>20</v>
      </c>
      <c r="K46" s="82">
        <v>-25</v>
      </c>
      <c r="L46" s="82" t="e">
        <f>F22</f>
        <v>#REF!</v>
      </c>
      <c r="M46" s="82" t="e">
        <f>F22</f>
        <v>#REF!</v>
      </c>
      <c r="N46" s="82" t="e">
        <f>(ROUNDUP(F22*N30/11,0))</f>
        <v>#REF!</v>
      </c>
      <c r="O46" s="82" t="e">
        <f>(ROUNDUP(F22*O30/11,0))</f>
        <v>#REF!</v>
      </c>
      <c r="P46" s="82" t="e">
        <f>(ROUNDUP(F22*P30/11,0))</f>
        <v>#REF!</v>
      </c>
      <c r="Q46" s="82" t="e">
        <f>(ROUNDUP(F22*Q30/11,0))</f>
        <v>#REF!</v>
      </c>
      <c r="R46" s="82" t="e">
        <f>(ROUNDUP(F22*R30/11,0))</f>
        <v>#REF!</v>
      </c>
      <c r="S46" s="82" t="e">
        <f>(ROUNDUP(F22*S30/11,0))</f>
        <v>#REF!</v>
      </c>
      <c r="T46" s="82" t="e">
        <f>(ROUNDUP(F22*T30/11,0))</f>
        <v>#REF!</v>
      </c>
      <c r="U46" s="82" t="e">
        <f>(ROUNDUP(F22*U30/11,0))</f>
        <v>#REF!</v>
      </c>
      <c r="V46" s="82" t="e">
        <f>(ROUNDUP(F22*V30/11,0))</f>
        <v>#REF!</v>
      </c>
      <c r="W46" s="82" t="e">
        <f>(ROUNDUP(F22*W30/11,0))</f>
        <v>#REF!</v>
      </c>
      <c r="X46" s="82" t="e">
        <f>(ROUNDUP(F22*X30/11,0))</f>
        <v>#REF!</v>
      </c>
      <c r="Y46" s="82" t="e">
        <f>(ROUNDUP(F22*Y30/11,0))</f>
        <v>#REF!</v>
      </c>
      <c r="Z46" s="82" t="e">
        <f>(ROUNDUP(F22*Z30/11,0))</f>
        <v>#REF!</v>
      </c>
      <c r="AA46" s="85" t="e">
        <f>(ROUNDUP(F22*AA30/11,0))</f>
        <v>#REF!</v>
      </c>
      <c r="AD46" s="14"/>
      <c r="AH46" s="181">
        <v>140</v>
      </c>
      <c r="AI46" s="186" t="e">
        <f t="shared" si="6"/>
        <v>#REF!</v>
      </c>
    </row>
    <row r="47" spans="1:47" ht="16.05" customHeight="1" thickBot="1" x14ac:dyDescent="0.25">
      <c r="A47" s="68"/>
      <c r="B47" s="175">
        <v>223200</v>
      </c>
      <c r="C47" s="96" t="s">
        <v>152</v>
      </c>
      <c r="D47" s="71" t="s">
        <v>10</v>
      </c>
      <c r="E47" s="97" t="e">
        <f>IF(AND(E18="x",F22&lt;160,J22&lt;3200,SUM(E38:E46)&lt;1),1,0)</f>
        <v>#REF!</v>
      </c>
      <c r="F47" s="124">
        <v>297.66000000000003</v>
      </c>
      <c r="G47" s="123" t="e">
        <f t="shared" si="4"/>
        <v>#REF!</v>
      </c>
      <c r="H47" s="188" t="e">
        <f t="shared" si="7"/>
        <v>#REF!</v>
      </c>
      <c r="I47" s="119" t="e">
        <f>E47*3300</f>
        <v>#REF!</v>
      </c>
      <c r="J47" s="81">
        <v>20</v>
      </c>
      <c r="K47" s="88">
        <v>-35</v>
      </c>
      <c r="L47" s="88" t="e">
        <f>(ROUNDUP(F22*L30/11,0))</f>
        <v>#REF!</v>
      </c>
      <c r="M47" s="88" t="e">
        <f>(ROUNDUP(F22*M30/11,0))</f>
        <v>#REF!</v>
      </c>
      <c r="N47" s="88" t="e">
        <f>(ROUNDUP(F22*N31/11,0))</f>
        <v>#REF!</v>
      </c>
      <c r="O47" s="88" t="e">
        <f>(ROUNDUP(F22*O31/11,0))</f>
        <v>#REF!</v>
      </c>
      <c r="P47" s="88" t="e">
        <f>(ROUNDUP(F22*P31/11,0))</f>
        <v>#REF!</v>
      </c>
      <c r="Q47" s="88" t="e">
        <f>(ROUNDUP(F22*Q31/11,0))</f>
        <v>#REF!</v>
      </c>
      <c r="R47" s="88" t="e">
        <f>(ROUNDUP(F22*R31/11,0))</f>
        <v>#REF!</v>
      </c>
      <c r="S47" s="88" t="e">
        <f>(ROUNDUP(F22*S31/11,0))</f>
        <v>#REF!</v>
      </c>
      <c r="T47" s="88" t="e">
        <f>(ROUNDUP(F22*T31/11,0))</f>
        <v>#REF!</v>
      </c>
      <c r="U47" s="88" t="e">
        <f>(ROUNDUP(F22*U31/11,0))</f>
        <v>#REF!</v>
      </c>
      <c r="V47" s="88" t="e">
        <f>(ROUNDUP(F22*V31/11,0))</f>
        <v>#REF!</v>
      </c>
      <c r="W47" s="88" t="e">
        <f>(ROUNDUP(F22*W31/11,0))</f>
        <v>#REF!</v>
      </c>
      <c r="X47" s="88" t="e">
        <f>(ROUNDUP(F22*X31/11,0))</f>
        <v>#REF!</v>
      </c>
      <c r="Y47" s="88" t="e">
        <f>(ROUNDUP(F22*Y31/11,0))</f>
        <v>#REF!</v>
      </c>
      <c r="Z47" s="88" t="e">
        <f>(ROUNDUP(F22*Z31/11,0))</f>
        <v>#REF!</v>
      </c>
      <c r="AA47" s="89" t="e">
        <f>(ROUNDUP(F22*AA31/11,0))</f>
        <v>#REF!</v>
      </c>
      <c r="AH47" s="182">
        <v>160</v>
      </c>
      <c r="AI47" s="186" t="e">
        <f t="shared" si="6"/>
        <v>#REF!</v>
      </c>
    </row>
    <row r="48" spans="1:47" ht="16.05" customHeight="1" thickBot="1" x14ac:dyDescent="0.25">
      <c r="A48" s="686" t="s">
        <v>140</v>
      </c>
      <c r="B48" s="687"/>
      <c r="C48" s="687"/>
      <c r="D48" s="687"/>
      <c r="E48" s="687"/>
      <c r="F48" s="687"/>
      <c r="G48" s="117"/>
      <c r="H48" s="177" t="e">
        <f>SUM(H49:H59)</f>
        <v>#REF!</v>
      </c>
      <c r="I48" s="119"/>
      <c r="J48" s="76">
        <v>30</v>
      </c>
      <c r="K48" s="83">
        <v>-20</v>
      </c>
      <c r="L48" s="83" t="e">
        <f>F22</f>
        <v>#REF!</v>
      </c>
      <c r="M48" s="83" t="e">
        <f>F22</f>
        <v>#REF!</v>
      </c>
      <c r="N48" s="83" t="e">
        <f>F22</f>
        <v>#REF!</v>
      </c>
      <c r="O48" s="83" t="e">
        <f>F22</f>
        <v>#REF!</v>
      </c>
      <c r="P48" s="83" t="e">
        <f>F22</f>
        <v>#REF!</v>
      </c>
      <c r="Q48" s="83" t="e">
        <f>(ROUNDUP(F22*Q32/11,0))</f>
        <v>#REF!</v>
      </c>
      <c r="R48" s="83" t="e">
        <f>(ROUNDUP(F22*R32/11,0))</f>
        <v>#REF!</v>
      </c>
      <c r="S48" s="83" t="e">
        <f>(ROUNDUP(F22*S32/11,0))</f>
        <v>#REF!</v>
      </c>
      <c r="T48" s="83" t="e">
        <f>(ROUNDUP(F22*T32/11,0))</f>
        <v>#REF!</v>
      </c>
      <c r="U48" s="83" t="e">
        <f>(ROUNDUP(F22*U32/11,0))</f>
        <v>#REF!</v>
      </c>
      <c r="V48" s="83" t="e">
        <f>(ROUNDUP(F22*V32/11,0))</f>
        <v>#REF!</v>
      </c>
      <c r="W48" s="83" t="e">
        <f>(ROUNDUP(F22*W32/11,0))</f>
        <v>#REF!</v>
      </c>
      <c r="X48" s="83" t="e">
        <f>(ROUNDUP(F22*X32/11,0))</f>
        <v>#REF!</v>
      </c>
      <c r="Y48" s="83" t="e">
        <f>(ROUNDUP(F22*Y32/11,0))</f>
        <v>#REF!</v>
      </c>
      <c r="Z48" s="83" t="e">
        <f>(ROUNDUP(F22*Z32/11,0))</f>
        <v>#REF!</v>
      </c>
      <c r="AA48" s="84" t="e">
        <f>(ROUNDUP(F22*AA32/11,0))</f>
        <v>#REF!</v>
      </c>
      <c r="AH48" s="178"/>
      <c r="AI48" s="186">
        <f t="shared" si="6"/>
        <v>0</v>
      </c>
    </row>
    <row r="49" spans="1:35" ht="16.05" customHeight="1" x14ac:dyDescent="0.2">
      <c r="A49" s="99"/>
      <c r="B49" s="100">
        <v>120300</v>
      </c>
      <c r="C49" s="101" t="s">
        <v>101</v>
      </c>
      <c r="D49" s="100" t="s">
        <v>10</v>
      </c>
      <c r="E49" s="102" t="e">
        <f>IF(AND(E17="x",F22&lt;17.6,J22&lt;300),1,0)</f>
        <v>#REF!</v>
      </c>
      <c r="F49" s="124">
        <v>42</v>
      </c>
      <c r="G49" s="123" t="e">
        <f t="shared" ref="G49:G59" si="8">E49*F49</f>
        <v>#REF!</v>
      </c>
      <c r="H49" s="188" t="e">
        <f t="shared" ref="H49:H59" si="9">E49</f>
        <v>#REF!</v>
      </c>
      <c r="I49" s="119" t="e">
        <f>E49*300</f>
        <v>#REF!</v>
      </c>
      <c r="J49" s="77">
        <v>30</v>
      </c>
      <c r="K49" s="82">
        <v>-25</v>
      </c>
      <c r="L49" s="82" t="e">
        <f>F22</f>
        <v>#REF!</v>
      </c>
      <c r="M49" s="82" t="e">
        <f>F22</f>
        <v>#REF!</v>
      </c>
      <c r="N49" s="82" t="e">
        <f>F22</f>
        <v>#REF!</v>
      </c>
      <c r="O49" s="82" t="e">
        <f>F22</f>
        <v>#REF!</v>
      </c>
      <c r="P49" s="82" t="e">
        <f>F22</f>
        <v>#REF!</v>
      </c>
      <c r="Q49" s="82" t="e">
        <f>(ROUNDUP(F22*Q33/11,0))</f>
        <v>#REF!</v>
      </c>
      <c r="R49" s="82" t="e">
        <f>(ROUNDUP(F22*R33/11,0))</f>
        <v>#REF!</v>
      </c>
      <c r="S49" s="82" t="e">
        <f>(ROUNDUP(F22*S33/11,0))</f>
        <v>#REF!</v>
      </c>
      <c r="T49" s="82" t="e">
        <f>(ROUNDUP(F22*T33/11,0))</f>
        <v>#REF!</v>
      </c>
      <c r="U49" s="82" t="e">
        <f>(ROUNDUP(F22*U33/11,0))</f>
        <v>#REF!</v>
      </c>
      <c r="V49" s="82" t="e">
        <f>(ROUNDUP(F22*V33/11,0))</f>
        <v>#REF!</v>
      </c>
      <c r="W49" s="82" t="e">
        <f>(ROUNDUP(F22*W33/11,0))</f>
        <v>#REF!</v>
      </c>
      <c r="X49" s="82" t="e">
        <f>(ROUNDUP(F22*X33/11,0))</f>
        <v>#REF!</v>
      </c>
      <c r="Y49" s="82" t="e">
        <f>(ROUNDUP(F22*Y33/11,0))</f>
        <v>#REF!</v>
      </c>
      <c r="Z49" s="82" t="e">
        <f>(ROUNDUP(F22*Z33/11,0))</f>
        <v>#REF!</v>
      </c>
      <c r="AA49" s="85" t="e">
        <f>(ROUNDUP(F22*AA33/11,0))</f>
        <v>#REF!</v>
      </c>
      <c r="AH49" s="180">
        <v>17.600000000000001</v>
      </c>
      <c r="AI49" s="186" t="e">
        <f t="shared" si="6"/>
        <v>#REF!</v>
      </c>
    </row>
    <row r="50" spans="1:35" ht="16.05" customHeight="1" thickBot="1" x14ac:dyDescent="0.25">
      <c r="A50" s="58"/>
      <c r="B50" s="54">
        <v>120500</v>
      </c>
      <c r="C50" s="55" t="s">
        <v>102</v>
      </c>
      <c r="D50" s="54" t="s">
        <v>10</v>
      </c>
      <c r="E50" s="94" t="e">
        <f>IF(AND(E17="x",F22&lt;29.4,J22&lt;500,SUM(E49:E49)&lt;1),1,0)</f>
        <v>#REF!</v>
      </c>
      <c r="F50" s="124">
        <v>62</v>
      </c>
      <c r="G50" s="123" t="e">
        <f t="shared" si="8"/>
        <v>#REF!</v>
      </c>
      <c r="H50" s="188" t="e">
        <f t="shared" si="9"/>
        <v>#REF!</v>
      </c>
      <c r="I50" s="119" t="e">
        <f>E50*500</f>
        <v>#REF!</v>
      </c>
      <c r="J50" s="81">
        <v>30</v>
      </c>
      <c r="K50" s="88">
        <v>-35</v>
      </c>
      <c r="L50" s="88" t="e">
        <f>F22</f>
        <v>#REF!</v>
      </c>
      <c r="M50" s="88" t="e">
        <f>F22</f>
        <v>#REF!</v>
      </c>
      <c r="N50" s="88" t="e">
        <f>F22</f>
        <v>#REF!</v>
      </c>
      <c r="O50" s="88" t="e">
        <f>F22</f>
        <v>#REF!</v>
      </c>
      <c r="P50" s="88" t="e">
        <f>(ROUNDUP(F22*P34/11,0))</f>
        <v>#REF!</v>
      </c>
      <c r="Q50" s="88" t="e">
        <f>(ROUNDUP(F22*Q34/11,0))</f>
        <v>#REF!</v>
      </c>
      <c r="R50" s="88" t="e">
        <f>(ROUNDUP(F22*R34/11,0))</f>
        <v>#REF!</v>
      </c>
      <c r="S50" s="88" t="e">
        <f>(ROUNDUP(F22*S34/11,0))</f>
        <v>#REF!</v>
      </c>
      <c r="T50" s="88" t="e">
        <f>(ROUNDUP(F22*T34/11,0))</f>
        <v>#REF!</v>
      </c>
      <c r="U50" s="88" t="e">
        <f>(ROUNDUP(F22*U34/11,0))</f>
        <v>#REF!</v>
      </c>
      <c r="V50" s="88" t="e">
        <f>(ROUNDUP(F22*V34/11,0))</f>
        <v>#REF!</v>
      </c>
      <c r="W50" s="88" t="e">
        <f>(ROUNDUP(F22*W34/11,0))</f>
        <v>#REF!</v>
      </c>
      <c r="X50" s="88" t="e">
        <f>(ROUNDUP(F22*X34/11,0))</f>
        <v>#REF!</v>
      </c>
      <c r="Y50" s="88" t="e">
        <f>(ROUNDUP(F22*Y34/11,0))</f>
        <v>#REF!</v>
      </c>
      <c r="Z50" s="88" t="e">
        <f>(ROUNDUP(F22*Z34/11,0))</f>
        <v>#REF!</v>
      </c>
      <c r="AA50" s="89" t="e">
        <f>(ROUNDUP(F22*AA34/11,0))</f>
        <v>#REF!</v>
      </c>
      <c r="AH50" s="181">
        <v>29.4</v>
      </c>
      <c r="AI50" s="186" t="e">
        <f t="shared" si="6"/>
        <v>#REF!</v>
      </c>
    </row>
    <row r="51" spans="1:35" ht="16.05" customHeight="1" x14ac:dyDescent="0.2">
      <c r="A51" s="58"/>
      <c r="B51" s="54">
        <v>120700</v>
      </c>
      <c r="C51" s="55" t="s">
        <v>103</v>
      </c>
      <c r="D51" s="54" t="s">
        <v>10</v>
      </c>
      <c r="E51" s="94" t="e">
        <f>IF(AND(E17="x",F22&lt;41.2,J22&lt;700,SUM(E49:E50)&lt;1),1,0)</f>
        <v>#REF!</v>
      </c>
      <c r="F51" s="124">
        <v>75</v>
      </c>
      <c r="G51" s="123" t="e">
        <f t="shared" si="8"/>
        <v>#REF!</v>
      </c>
      <c r="H51" s="188" t="e">
        <f t="shared" si="9"/>
        <v>#REF!</v>
      </c>
      <c r="I51" s="119" t="e">
        <f>E51*700</f>
        <v>#REF!</v>
      </c>
      <c r="J51" s="76">
        <v>50</v>
      </c>
      <c r="K51" s="83">
        <v>-20</v>
      </c>
      <c r="L51" s="83" t="e">
        <f>F22</f>
        <v>#REF!</v>
      </c>
      <c r="M51" s="83" t="e">
        <f>F22</f>
        <v>#REF!</v>
      </c>
      <c r="N51" s="83" t="e">
        <f>F22</f>
        <v>#REF!</v>
      </c>
      <c r="O51" s="83" t="e">
        <f>F22</f>
        <v>#REF!</v>
      </c>
      <c r="P51" s="83" t="e">
        <f>F22</f>
        <v>#REF!</v>
      </c>
      <c r="Q51" s="83" t="e">
        <f>F22</f>
        <v>#REF!</v>
      </c>
      <c r="R51" s="83" t="e">
        <f>F22</f>
        <v>#REF!</v>
      </c>
      <c r="S51" s="83" t="e">
        <f>F22</f>
        <v>#REF!</v>
      </c>
      <c r="T51" s="83" t="e">
        <f>(ROUNDUP(F22*T35/11,0))</f>
        <v>#REF!</v>
      </c>
      <c r="U51" s="83" t="e">
        <f>(ROUNDUP(F22*U35/11,0))</f>
        <v>#REF!</v>
      </c>
      <c r="V51" s="83" t="e">
        <f>(ROUNDUP(F22*V35/11,0))</f>
        <v>#REF!</v>
      </c>
      <c r="W51" s="83" t="e">
        <f>(ROUNDUP(F22*W35/11,0))</f>
        <v>#REF!</v>
      </c>
      <c r="X51" s="83" t="e">
        <f>(ROUNDUP(F22*X35/11,0))</f>
        <v>#REF!</v>
      </c>
      <c r="Y51" s="83" t="e">
        <f>(ROUNDUP(F22*Y35/11,0))</f>
        <v>#REF!</v>
      </c>
      <c r="Z51" s="83" t="e">
        <f>(ROUNDUP(F22*Z35/11,0))</f>
        <v>#REF!</v>
      </c>
      <c r="AA51" s="84" t="e">
        <f>(ROUNDUP(F22*AA35/11,0))</f>
        <v>#REF!</v>
      </c>
      <c r="AH51" s="181">
        <v>41.2</v>
      </c>
      <c r="AI51" s="186" t="e">
        <f t="shared" si="6"/>
        <v>#REF!</v>
      </c>
    </row>
    <row r="52" spans="1:35" ht="16.05" customHeight="1" x14ac:dyDescent="0.2">
      <c r="A52" s="58"/>
      <c r="B52" s="54">
        <v>121000</v>
      </c>
      <c r="C52" s="55" t="s">
        <v>104</v>
      </c>
      <c r="D52" s="54" t="s">
        <v>10</v>
      </c>
      <c r="E52" s="94" t="e">
        <f>IF(AND(E17="x",F22&lt;58.8,J22&lt;1000,SUM(E49:E51)&lt;1),1,0)</f>
        <v>#REF!</v>
      </c>
      <c r="F52" s="124">
        <v>107</v>
      </c>
      <c r="G52" s="123" t="e">
        <f t="shared" si="8"/>
        <v>#REF!</v>
      </c>
      <c r="H52" s="188" t="e">
        <f t="shared" si="9"/>
        <v>#REF!</v>
      </c>
      <c r="I52" s="119" t="e">
        <f>E52*1000</f>
        <v>#REF!</v>
      </c>
      <c r="J52" s="77">
        <v>50</v>
      </c>
      <c r="K52" s="82">
        <v>-25</v>
      </c>
      <c r="L52" s="82" t="e">
        <f>F22</f>
        <v>#REF!</v>
      </c>
      <c r="M52" s="82" t="e">
        <f>F22</f>
        <v>#REF!</v>
      </c>
      <c r="N52" s="82" t="e">
        <f>F22</f>
        <v>#REF!</v>
      </c>
      <c r="O52" s="82" t="e">
        <f>F22</f>
        <v>#REF!</v>
      </c>
      <c r="P52" s="82" t="e">
        <f>F22</f>
        <v>#REF!</v>
      </c>
      <c r="Q52" s="82" t="e">
        <f>F22</f>
        <v>#REF!</v>
      </c>
      <c r="R52" s="82" t="e">
        <f>F22</f>
        <v>#REF!</v>
      </c>
      <c r="S52" s="82" t="e">
        <f>(ROUNDUP(F22*S36/11,0))</f>
        <v>#REF!</v>
      </c>
      <c r="T52" s="82" t="e">
        <f>(ROUNDUP(F22*T36/11,0))</f>
        <v>#REF!</v>
      </c>
      <c r="U52" s="82" t="e">
        <f>(ROUNDUP(F22*U36/11,0))</f>
        <v>#REF!</v>
      </c>
      <c r="V52" s="82" t="e">
        <f>(ROUNDUP(F22*V36/11,0))</f>
        <v>#REF!</v>
      </c>
      <c r="W52" s="82" t="e">
        <f>(ROUNDUP(F22*W36/11,0))</f>
        <v>#REF!</v>
      </c>
      <c r="X52" s="82" t="e">
        <f>(ROUNDUP(F22*X36/11,0))</f>
        <v>#REF!</v>
      </c>
      <c r="Y52" s="82" t="e">
        <f>(ROUNDUP(F22*Y36/11,0))</f>
        <v>#REF!</v>
      </c>
      <c r="Z52" s="82" t="e">
        <f>(ROUNDUP(F22*Z36/11,0))</f>
        <v>#REF!</v>
      </c>
      <c r="AA52" s="85" t="e">
        <f>(ROUNDUP(F22*AA36/11,0))</f>
        <v>#REF!</v>
      </c>
      <c r="AH52" s="181">
        <v>58.8</v>
      </c>
      <c r="AI52" s="186" t="e">
        <f t="shared" si="6"/>
        <v>#REF!</v>
      </c>
    </row>
    <row r="53" spans="1:35" ht="16.05" customHeight="1" thickBot="1" x14ac:dyDescent="0.25">
      <c r="A53" s="58"/>
      <c r="B53" s="54">
        <v>121250</v>
      </c>
      <c r="C53" s="55" t="s">
        <v>105</v>
      </c>
      <c r="D53" s="54" t="s">
        <v>10</v>
      </c>
      <c r="E53" s="94" t="e">
        <f>IF(AND(E17="x",F22&lt;73.5,J22&lt;1250,SUM(E49:E52)&lt;1),1,0)</f>
        <v>#REF!</v>
      </c>
      <c r="F53" s="124">
        <v>134</v>
      </c>
      <c r="G53" s="123" t="e">
        <f t="shared" si="8"/>
        <v>#REF!</v>
      </c>
      <c r="H53" s="188" t="e">
        <f t="shared" si="9"/>
        <v>#REF!</v>
      </c>
      <c r="I53" s="119" t="e">
        <f>E53*1250</f>
        <v>#REF!</v>
      </c>
      <c r="J53" s="78">
        <v>50</v>
      </c>
      <c r="K53" s="86">
        <v>-35</v>
      </c>
      <c r="L53" s="86" t="e">
        <f>F22</f>
        <v>#REF!</v>
      </c>
      <c r="M53" s="86" t="e">
        <f>F22</f>
        <v>#REF!</v>
      </c>
      <c r="N53" s="86" t="e">
        <f>F22</f>
        <v>#REF!</v>
      </c>
      <c r="O53" s="86" t="e">
        <f>F22</f>
        <v>#REF!</v>
      </c>
      <c r="P53" s="86" t="e">
        <f>(ROUNDUP(F22*P37/11,0))</f>
        <v>#REF!</v>
      </c>
      <c r="Q53" s="86" t="e">
        <f>(ROUNDUP(F22*Q37/11,0))</f>
        <v>#REF!</v>
      </c>
      <c r="R53" s="86" t="e">
        <f>(ROUNDUP(F22*R37/11,0))</f>
        <v>#REF!</v>
      </c>
      <c r="S53" s="86" t="e">
        <f>(ROUNDUP(F22*S37/11,0))</f>
        <v>#REF!</v>
      </c>
      <c r="T53" s="86" t="e">
        <f>(ROUNDUP(F22*T37/11,0))</f>
        <v>#REF!</v>
      </c>
      <c r="U53" s="86" t="e">
        <f>(ROUNDUP(F22*U37/11,0))</f>
        <v>#REF!</v>
      </c>
      <c r="V53" s="86" t="e">
        <f>(ROUNDUP(F22*V37/11,0))</f>
        <v>#REF!</v>
      </c>
      <c r="W53" s="86" t="e">
        <f>(ROUNDUP(F22*W37/11,0))</f>
        <v>#REF!</v>
      </c>
      <c r="X53" s="86" t="e">
        <f>(ROUNDUP(F22*X37/11,0))</f>
        <v>#REF!</v>
      </c>
      <c r="Y53" s="86" t="e">
        <f>(ROUNDUP(F22*Y37/11,0))</f>
        <v>#REF!</v>
      </c>
      <c r="Z53" s="86" t="e">
        <f>(ROUNDUP(F22*Z37/11,0))</f>
        <v>#REF!</v>
      </c>
      <c r="AA53" s="87" t="e">
        <f>(ROUNDUP(F22*AA37/11,0))</f>
        <v>#REF!</v>
      </c>
      <c r="AH53" s="181">
        <v>73.5</v>
      </c>
      <c r="AI53" s="186" t="e">
        <f t="shared" si="6"/>
        <v>#REF!</v>
      </c>
    </row>
    <row r="54" spans="1:35" ht="16.05" customHeight="1" x14ac:dyDescent="0.2">
      <c r="A54" s="58"/>
      <c r="B54" s="54">
        <v>121501</v>
      </c>
      <c r="C54" s="55" t="s">
        <v>106</v>
      </c>
      <c r="D54" s="54" t="s">
        <v>10</v>
      </c>
      <c r="E54" s="94" t="e">
        <f>IF(AND(E17="x",F22&lt;88.2,J22&lt;1500,SUM(E49:E53)&lt;1),1,0)</f>
        <v>#REF!</v>
      </c>
      <c r="F54" s="124">
        <v>167</v>
      </c>
      <c r="G54" s="123" t="e">
        <f t="shared" si="8"/>
        <v>#REF!</v>
      </c>
      <c r="H54" s="188" t="e">
        <f t="shared" si="9"/>
        <v>#REF!</v>
      </c>
      <c r="I54" s="119" t="e">
        <f>E54*1500</f>
        <v>#REF!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H54" s="181">
        <v>88.2</v>
      </c>
      <c r="AI54" s="186" t="e">
        <f t="shared" si="6"/>
        <v>#REF!</v>
      </c>
    </row>
    <row r="55" spans="1:35" ht="16.05" customHeight="1" x14ac:dyDescent="0.2">
      <c r="A55" s="58"/>
      <c r="B55" s="54">
        <v>121700</v>
      </c>
      <c r="C55" s="55" t="s">
        <v>107</v>
      </c>
      <c r="D55" s="54" t="s">
        <v>10</v>
      </c>
      <c r="E55" s="94" t="e">
        <f>IF(AND(E17="x",F22&lt;100,J22&lt;1700,SUM(E49:E54)&lt;1),1,0)</f>
        <v>#REF!</v>
      </c>
      <c r="F55" s="124">
        <v>178</v>
      </c>
      <c r="G55" s="123" t="e">
        <f t="shared" si="8"/>
        <v>#REF!</v>
      </c>
      <c r="H55" s="188" t="e">
        <f t="shared" si="9"/>
        <v>#REF!</v>
      </c>
      <c r="I55" s="119" t="e">
        <f>E55*1700</f>
        <v>#REF!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20"/>
      <c r="V55" s="20"/>
      <c r="W55" s="20"/>
      <c r="X55" s="20"/>
      <c r="Y55" s="20"/>
      <c r="Z55" s="20"/>
      <c r="AA55" s="20"/>
      <c r="AH55" s="181">
        <v>100</v>
      </c>
      <c r="AI55" s="186" t="e">
        <f t="shared" si="6"/>
        <v>#REF!</v>
      </c>
    </row>
    <row r="56" spans="1:35" ht="16.05" customHeight="1" thickBot="1" x14ac:dyDescent="0.25">
      <c r="A56" s="58"/>
      <c r="B56" s="54">
        <v>122100</v>
      </c>
      <c r="C56" s="55" t="s">
        <v>108</v>
      </c>
      <c r="D56" s="54" t="s">
        <v>10</v>
      </c>
      <c r="E56" s="94" t="e">
        <f>IF(AND(E17="x",F22&lt;123.5,J22&lt;2100,SUM(E49:E55)&lt;1),1,0)</f>
        <v>#REF!</v>
      </c>
      <c r="F56" s="124">
        <v>222</v>
      </c>
      <c r="G56" s="123" t="e">
        <f t="shared" si="8"/>
        <v>#REF!</v>
      </c>
      <c r="H56" s="188" t="e">
        <f>E56</f>
        <v>#REF!</v>
      </c>
      <c r="I56" s="119" t="e">
        <f>E56*2100</f>
        <v>#REF!</v>
      </c>
      <c r="J56" s="19"/>
      <c r="K56" s="638" t="s">
        <v>136</v>
      </c>
      <c r="L56" s="639"/>
      <c r="M56" s="639"/>
      <c r="N56" s="639"/>
      <c r="O56" s="639"/>
      <c r="P56" s="639"/>
      <c r="Q56" s="639"/>
      <c r="R56" s="639"/>
      <c r="S56" s="639"/>
      <c r="T56" s="639"/>
      <c r="U56" s="639"/>
      <c r="V56" s="639"/>
      <c r="W56" s="639"/>
      <c r="X56" s="639"/>
      <c r="Y56" s="639"/>
      <c r="Z56" s="639"/>
      <c r="AA56" s="639"/>
      <c r="AH56" s="181">
        <v>123.5</v>
      </c>
      <c r="AI56" s="186" t="e">
        <f t="shared" si="6"/>
        <v>#REF!</v>
      </c>
    </row>
    <row r="57" spans="1:35" ht="16.05" customHeight="1" x14ac:dyDescent="0.2">
      <c r="A57" s="58"/>
      <c r="B57" s="54">
        <v>122600</v>
      </c>
      <c r="C57" s="55" t="s">
        <v>109</v>
      </c>
      <c r="D57" s="54" t="s">
        <v>10</v>
      </c>
      <c r="E57" s="94" t="e">
        <f>IF(AND(E17="x",F22&lt;152.9,J22&lt;2600,SUM(E49:E56)&lt;1),1,0)</f>
        <v>#REF!</v>
      </c>
      <c r="F57" s="124">
        <v>266</v>
      </c>
      <c r="G57" s="123" t="e">
        <f t="shared" si="8"/>
        <v>#REF!</v>
      </c>
      <c r="H57" s="188" t="e">
        <f>E57</f>
        <v>#REF!</v>
      </c>
      <c r="I57" s="119" t="e">
        <f>E57*2600</f>
        <v>#REF!</v>
      </c>
      <c r="J57" s="19"/>
      <c r="K57" s="640" t="s">
        <v>90</v>
      </c>
      <c r="L57" s="641"/>
      <c r="M57" s="641"/>
      <c r="N57" s="641"/>
      <c r="O57" s="641"/>
      <c r="P57" s="641"/>
      <c r="Q57" s="641"/>
      <c r="R57" s="641"/>
      <c r="S57" s="641"/>
      <c r="T57" s="641"/>
      <c r="U57" s="641"/>
      <c r="V57" s="641"/>
      <c r="W57" s="641"/>
      <c r="X57" s="641"/>
      <c r="Y57" s="641"/>
      <c r="Z57" s="641"/>
      <c r="AA57" s="642"/>
      <c r="AH57" s="181">
        <v>152.9</v>
      </c>
      <c r="AI57" s="186" t="e">
        <f t="shared" si="6"/>
        <v>#REF!</v>
      </c>
    </row>
    <row r="58" spans="1:35" ht="16.05" customHeight="1" x14ac:dyDescent="0.2">
      <c r="A58" s="58"/>
      <c r="B58" s="54">
        <v>122900</v>
      </c>
      <c r="C58" s="55" t="s">
        <v>110</v>
      </c>
      <c r="D58" s="54" t="s">
        <v>10</v>
      </c>
      <c r="E58" s="94" t="e">
        <f>IF(AND(E17="x",F22&lt;170.6,J22&lt;2900,SUM(E49:E57)&lt;1),1,0)</f>
        <v>#REF!</v>
      </c>
      <c r="F58" s="124">
        <v>295</v>
      </c>
      <c r="G58" s="123" t="e">
        <f t="shared" si="8"/>
        <v>#REF!</v>
      </c>
      <c r="H58" s="188" t="e">
        <f t="shared" si="9"/>
        <v>#REF!</v>
      </c>
      <c r="I58" s="119" t="e">
        <f>E58*2900</f>
        <v>#REF!</v>
      </c>
      <c r="J58" s="19"/>
      <c r="K58" s="163" t="s">
        <v>134</v>
      </c>
      <c r="L58" s="154" t="s">
        <v>127</v>
      </c>
      <c r="M58" s="154" t="s">
        <v>128</v>
      </c>
      <c r="N58" s="154">
        <v>1</v>
      </c>
      <c r="O58" s="154" t="s">
        <v>129</v>
      </c>
      <c r="P58" s="154" t="s">
        <v>130</v>
      </c>
      <c r="Q58" s="154">
        <v>2</v>
      </c>
      <c r="R58" s="154" t="s">
        <v>131</v>
      </c>
      <c r="S58" s="154">
        <v>3</v>
      </c>
      <c r="T58" s="154" t="s">
        <v>132</v>
      </c>
      <c r="U58" s="154">
        <v>4</v>
      </c>
      <c r="V58" s="154" t="s">
        <v>133</v>
      </c>
      <c r="W58" s="154">
        <v>5</v>
      </c>
      <c r="X58" s="154">
        <v>6</v>
      </c>
      <c r="Y58" s="154">
        <v>8</v>
      </c>
      <c r="Z58" s="154">
        <v>10</v>
      </c>
      <c r="AA58" s="164">
        <v>12</v>
      </c>
      <c r="AH58" s="181">
        <v>170.6</v>
      </c>
      <c r="AI58" s="186" t="e">
        <f t="shared" si="6"/>
        <v>#REF!</v>
      </c>
    </row>
    <row r="59" spans="1:35" ht="16.05" customHeight="1" thickBot="1" x14ac:dyDescent="0.25">
      <c r="A59" s="68"/>
      <c r="B59" s="71">
        <v>123200</v>
      </c>
      <c r="C59" s="96" t="s">
        <v>111</v>
      </c>
      <c r="D59" s="71" t="s">
        <v>10</v>
      </c>
      <c r="E59" s="97" t="e">
        <f>IF(AND(E17="x",F22&lt;194.1,J22&lt;3300,SUM(E49:E58)&lt;1),1,0)</f>
        <v>#REF!</v>
      </c>
      <c r="F59" s="124">
        <v>338</v>
      </c>
      <c r="G59" s="123" t="e">
        <f t="shared" si="8"/>
        <v>#REF!</v>
      </c>
      <c r="H59" s="188" t="e">
        <f t="shared" si="9"/>
        <v>#REF!</v>
      </c>
      <c r="I59" s="119" t="e">
        <f>E59*3300</f>
        <v>#REF!</v>
      </c>
      <c r="J59" s="19"/>
      <c r="K59" s="165" t="s">
        <v>100</v>
      </c>
      <c r="L59" s="155">
        <v>21</v>
      </c>
      <c r="M59" s="155">
        <v>27</v>
      </c>
      <c r="N59" s="155">
        <v>34</v>
      </c>
      <c r="O59" s="155">
        <v>42</v>
      </c>
      <c r="P59" s="155">
        <v>48</v>
      </c>
      <c r="Q59" s="155">
        <v>60</v>
      </c>
      <c r="R59" s="155">
        <v>73</v>
      </c>
      <c r="S59" s="155">
        <v>89</v>
      </c>
      <c r="T59" s="155">
        <v>102</v>
      </c>
      <c r="U59" s="155">
        <v>114</v>
      </c>
      <c r="V59" s="155">
        <v>127</v>
      </c>
      <c r="W59" s="155">
        <v>141</v>
      </c>
      <c r="X59" s="155">
        <v>168</v>
      </c>
      <c r="Y59" s="155">
        <v>219</v>
      </c>
      <c r="Z59" s="155">
        <v>273</v>
      </c>
      <c r="AA59" s="156">
        <v>324</v>
      </c>
      <c r="AH59" s="182">
        <v>194.1</v>
      </c>
      <c r="AI59" s="186" t="e">
        <f t="shared" si="6"/>
        <v>#REF!</v>
      </c>
    </row>
    <row r="60" spans="1:35" ht="16.5" customHeight="1" thickBot="1" x14ac:dyDescent="0.25">
      <c r="A60" s="686" t="s">
        <v>141</v>
      </c>
      <c r="B60" s="687"/>
      <c r="C60" s="687"/>
      <c r="D60" s="687"/>
      <c r="E60" s="687"/>
      <c r="F60" s="687"/>
      <c r="G60" s="117"/>
      <c r="H60" s="177" t="e">
        <f>SUM(H61:H70)</f>
        <v>#REF!</v>
      </c>
      <c r="I60" s="119"/>
      <c r="J60" s="19"/>
      <c r="K60" s="134" t="s">
        <v>99</v>
      </c>
      <c r="L60" s="157">
        <v>15</v>
      </c>
      <c r="M60" s="157">
        <v>20</v>
      </c>
      <c r="N60" s="157">
        <v>25</v>
      </c>
      <c r="O60" s="157">
        <v>32</v>
      </c>
      <c r="P60" s="157">
        <v>40</v>
      </c>
      <c r="Q60" s="157">
        <v>50</v>
      </c>
      <c r="R60" s="157">
        <v>65</v>
      </c>
      <c r="S60" s="157">
        <v>80</v>
      </c>
      <c r="T60" s="157">
        <v>90</v>
      </c>
      <c r="U60" s="157">
        <v>100</v>
      </c>
      <c r="V60" s="157">
        <v>115</v>
      </c>
      <c r="W60" s="157">
        <v>125</v>
      </c>
      <c r="X60" s="157">
        <v>150</v>
      </c>
      <c r="Y60" s="157">
        <v>200</v>
      </c>
      <c r="Z60" s="157">
        <v>250</v>
      </c>
      <c r="AA60" s="158">
        <v>300</v>
      </c>
      <c r="AH60" s="178"/>
      <c r="AI60" s="186">
        <f t="shared" si="6"/>
        <v>0</v>
      </c>
    </row>
    <row r="61" spans="1:35" ht="16.05" customHeight="1" thickBot="1" x14ac:dyDescent="0.25">
      <c r="A61" s="56"/>
      <c r="B61" s="60">
        <v>120107</v>
      </c>
      <c r="C61" s="61" t="s">
        <v>114</v>
      </c>
      <c r="D61" s="57" t="s">
        <v>10</v>
      </c>
      <c r="E61" s="93" t="e">
        <f>IF(AND(E16="x",F22&lt;10,J22&lt;100),1,0)</f>
        <v>#REF!</v>
      </c>
      <c r="F61" s="124">
        <v>32.67</v>
      </c>
      <c r="G61" s="123" t="e">
        <f t="shared" ref="G61:G70" si="10">E61*F61</f>
        <v>#REF!</v>
      </c>
      <c r="H61" s="188" t="e">
        <f t="shared" ref="H61:H76" si="11">E61</f>
        <v>#REF!</v>
      </c>
      <c r="I61" s="119" t="e">
        <f>E61*100</f>
        <v>#REF!</v>
      </c>
      <c r="J61" s="19"/>
      <c r="K61" s="162" t="s">
        <v>126</v>
      </c>
      <c r="L61" s="643" t="s">
        <v>145</v>
      </c>
      <c r="M61" s="644"/>
      <c r="N61" s="644"/>
      <c r="O61" s="644"/>
      <c r="P61" s="644"/>
      <c r="Q61" s="644"/>
      <c r="R61" s="644"/>
      <c r="S61" s="644"/>
      <c r="T61" s="644"/>
      <c r="U61" s="644"/>
      <c r="V61" s="644"/>
      <c r="W61" s="644"/>
      <c r="X61" s="644"/>
      <c r="Y61" s="644"/>
      <c r="Z61" s="644"/>
      <c r="AA61" s="645"/>
      <c r="AH61" s="183">
        <v>10</v>
      </c>
      <c r="AI61" s="186" t="e">
        <f t="shared" si="6"/>
        <v>#REF!</v>
      </c>
    </row>
    <row r="62" spans="1:35" ht="16.05" customHeight="1" x14ac:dyDescent="0.2">
      <c r="A62" s="58"/>
      <c r="B62" s="50">
        <v>120207</v>
      </c>
      <c r="C62" s="59" t="s">
        <v>115</v>
      </c>
      <c r="D62" s="54" t="s">
        <v>10</v>
      </c>
      <c r="E62" s="94" t="e">
        <f>IF(AND(E16="x",F22&lt;20,J22&lt;200,SUM(E61:E61)&lt;1),1,0)</f>
        <v>#REF!</v>
      </c>
      <c r="F62" s="124">
        <v>45.1</v>
      </c>
      <c r="G62" s="123" t="e">
        <f t="shared" si="10"/>
        <v>#REF!</v>
      </c>
      <c r="H62" s="188" t="e">
        <f t="shared" si="11"/>
        <v>#REF!</v>
      </c>
      <c r="I62" s="119" t="e">
        <f>E62*200</f>
        <v>#REF!</v>
      </c>
      <c r="J62" s="76">
        <v>20</v>
      </c>
      <c r="K62" s="150">
        <v>-20</v>
      </c>
      <c r="L62" s="151" t="e">
        <f t="shared" ref="L62:AA62" si="12">IF(L29&gt;=17,ROUNDUP($F$22*L29/17,0),$F$22)</f>
        <v>#REF!</v>
      </c>
      <c r="M62" s="152" t="e">
        <f t="shared" si="12"/>
        <v>#REF!</v>
      </c>
      <c r="N62" s="152" t="e">
        <f t="shared" si="12"/>
        <v>#REF!</v>
      </c>
      <c r="O62" s="152" t="e">
        <f t="shared" si="12"/>
        <v>#REF!</v>
      </c>
      <c r="P62" s="152" t="e">
        <f t="shared" si="12"/>
        <v>#REF!</v>
      </c>
      <c r="Q62" s="152" t="e">
        <f t="shared" si="12"/>
        <v>#REF!</v>
      </c>
      <c r="R62" s="152" t="e">
        <f t="shared" si="12"/>
        <v>#REF!</v>
      </c>
      <c r="S62" s="152" t="e">
        <f t="shared" si="12"/>
        <v>#REF!</v>
      </c>
      <c r="T62" s="152" t="e">
        <f t="shared" si="12"/>
        <v>#REF!</v>
      </c>
      <c r="U62" s="152" t="e">
        <f t="shared" si="12"/>
        <v>#REF!</v>
      </c>
      <c r="V62" s="152" t="e">
        <f t="shared" si="12"/>
        <v>#REF!</v>
      </c>
      <c r="W62" s="152" t="e">
        <f t="shared" si="12"/>
        <v>#REF!</v>
      </c>
      <c r="X62" s="152" t="e">
        <f t="shared" si="12"/>
        <v>#REF!</v>
      </c>
      <c r="Y62" s="152" t="e">
        <f t="shared" si="12"/>
        <v>#REF!</v>
      </c>
      <c r="Z62" s="152" t="e">
        <f t="shared" si="12"/>
        <v>#REF!</v>
      </c>
      <c r="AA62" s="153" t="e">
        <f t="shared" si="12"/>
        <v>#REF!</v>
      </c>
      <c r="AH62" s="184">
        <v>20</v>
      </c>
      <c r="AI62" s="186" t="e">
        <f t="shared" si="6"/>
        <v>#REF!</v>
      </c>
    </row>
    <row r="63" spans="1:35" ht="19.8" x14ac:dyDescent="0.2">
      <c r="A63" s="58"/>
      <c r="B63" s="50">
        <v>120307</v>
      </c>
      <c r="C63" s="59" t="s">
        <v>116</v>
      </c>
      <c r="D63" s="54" t="s">
        <v>10</v>
      </c>
      <c r="E63" s="94" t="e">
        <f>IF(AND(E16="x",F22&lt;30,J22&lt;300,SUM(E61:E62)&lt;1),1,0)</f>
        <v>#REF!</v>
      </c>
      <c r="F63" s="124">
        <v>60.5</v>
      </c>
      <c r="G63" s="123" t="e">
        <f t="shared" si="10"/>
        <v>#REF!</v>
      </c>
      <c r="H63" s="188" t="e">
        <f t="shared" si="11"/>
        <v>#REF!</v>
      </c>
      <c r="I63" s="119" t="e">
        <f>E63*300</f>
        <v>#REF!</v>
      </c>
      <c r="J63" s="77">
        <v>20</v>
      </c>
      <c r="K63" s="145">
        <v>-25</v>
      </c>
      <c r="L63" s="148" t="e">
        <f t="shared" ref="L63:AA63" si="13">IF(L30&gt;=17,ROUNDUP($F$22*L30/17,0),$F$22)</f>
        <v>#REF!</v>
      </c>
      <c r="M63" s="82" t="e">
        <f t="shared" si="13"/>
        <v>#REF!</v>
      </c>
      <c r="N63" s="82" t="e">
        <f t="shared" si="13"/>
        <v>#REF!</v>
      </c>
      <c r="O63" s="82" t="e">
        <f t="shared" si="13"/>
        <v>#REF!</v>
      </c>
      <c r="P63" s="82" t="e">
        <f t="shared" si="13"/>
        <v>#REF!</v>
      </c>
      <c r="Q63" s="82" t="e">
        <f t="shared" si="13"/>
        <v>#REF!</v>
      </c>
      <c r="R63" s="82" t="e">
        <f t="shared" si="13"/>
        <v>#REF!</v>
      </c>
      <c r="S63" s="82" t="e">
        <f t="shared" si="13"/>
        <v>#REF!</v>
      </c>
      <c r="T63" s="82" t="e">
        <f t="shared" si="13"/>
        <v>#REF!</v>
      </c>
      <c r="U63" s="82" t="e">
        <f t="shared" si="13"/>
        <v>#REF!</v>
      </c>
      <c r="V63" s="82" t="e">
        <f t="shared" si="13"/>
        <v>#REF!</v>
      </c>
      <c r="W63" s="82" t="e">
        <f t="shared" si="13"/>
        <v>#REF!</v>
      </c>
      <c r="X63" s="82" t="e">
        <f t="shared" si="13"/>
        <v>#REF!</v>
      </c>
      <c r="Y63" s="82" t="e">
        <f t="shared" si="13"/>
        <v>#REF!</v>
      </c>
      <c r="Z63" s="82" t="e">
        <f t="shared" si="13"/>
        <v>#REF!</v>
      </c>
      <c r="AA63" s="85" t="e">
        <f t="shared" si="13"/>
        <v>#REF!</v>
      </c>
      <c r="AH63" s="184">
        <v>30</v>
      </c>
      <c r="AI63" s="186" t="e">
        <f t="shared" si="6"/>
        <v>#REF!</v>
      </c>
    </row>
    <row r="64" spans="1:35" ht="16.05" customHeight="1" thickBot="1" x14ac:dyDescent="0.25">
      <c r="A64" s="58"/>
      <c r="B64" s="50">
        <v>120407</v>
      </c>
      <c r="C64" s="59" t="s">
        <v>117</v>
      </c>
      <c r="D64" s="54" t="s">
        <v>10</v>
      </c>
      <c r="E64" s="95" t="e">
        <f>IF(AND(E16="x",F22&lt;40,J22&lt;400,SUM(E61:E63)&lt;1),1,0)</f>
        <v>#REF!</v>
      </c>
      <c r="F64" s="124">
        <v>74.8</v>
      </c>
      <c r="G64" s="123" t="e">
        <f t="shared" si="10"/>
        <v>#REF!</v>
      </c>
      <c r="H64" s="188" t="e">
        <f t="shared" si="11"/>
        <v>#REF!</v>
      </c>
      <c r="I64" s="119" t="e">
        <f t="shared" ref="I64" si="14">E64*400</f>
        <v>#REF!</v>
      </c>
      <c r="J64" s="78">
        <v>20</v>
      </c>
      <c r="K64" s="146">
        <v>-35</v>
      </c>
      <c r="L64" s="149" t="e">
        <f t="shared" ref="L64:AA64" si="15">IF(L31&gt;=17,ROUNDUP($F$22*L31/17,0),$F$22)</f>
        <v>#REF!</v>
      </c>
      <c r="M64" s="86" t="e">
        <f t="shared" si="15"/>
        <v>#REF!</v>
      </c>
      <c r="N64" s="86" t="e">
        <f t="shared" si="15"/>
        <v>#REF!</v>
      </c>
      <c r="O64" s="86" t="e">
        <f t="shared" si="15"/>
        <v>#REF!</v>
      </c>
      <c r="P64" s="86" t="e">
        <f t="shared" si="15"/>
        <v>#REF!</v>
      </c>
      <c r="Q64" s="86" t="e">
        <f t="shared" si="15"/>
        <v>#REF!</v>
      </c>
      <c r="R64" s="86" t="e">
        <f t="shared" si="15"/>
        <v>#REF!</v>
      </c>
      <c r="S64" s="86" t="e">
        <f t="shared" si="15"/>
        <v>#REF!</v>
      </c>
      <c r="T64" s="86" t="e">
        <f t="shared" si="15"/>
        <v>#REF!</v>
      </c>
      <c r="U64" s="86" t="e">
        <f t="shared" si="15"/>
        <v>#REF!</v>
      </c>
      <c r="V64" s="86" t="e">
        <f t="shared" si="15"/>
        <v>#REF!</v>
      </c>
      <c r="W64" s="86" t="e">
        <f t="shared" si="15"/>
        <v>#REF!</v>
      </c>
      <c r="X64" s="86" t="e">
        <f t="shared" si="15"/>
        <v>#REF!</v>
      </c>
      <c r="Y64" s="86" t="e">
        <f t="shared" si="15"/>
        <v>#REF!</v>
      </c>
      <c r="Z64" s="86" t="e">
        <f t="shared" si="15"/>
        <v>#REF!</v>
      </c>
      <c r="AA64" s="87" t="e">
        <f t="shared" si="15"/>
        <v>#REF!</v>
      </c>
      <c r="AH64" s="184">
        <v>40</v>
      </c>
      <c r="AI64" s="186" t="e">
        <f t="shared" si="6"/>
        <v>#REF!</v>
      </c>
    </row>
    <row r="65" spans="1:35" ht="16.05" customHeight="1" x14ac:dyDescent="0.2">
      <c r="A65" s="58"/>
      <c r="B65" s="50">
        <v>120607</v>
      </c>
      <c r="C65" s="59" t="s">
        <v>118</v>
      </c>
      <c r="D65" s="54" t="s">
        <v>10</v>
      </c>
      <c r="E65" s="95" t="e">
        <f>IF(AND(E16="x",F22&lt;60,J22&lt;600,SUM(E61:E64)&lt;1),1,0)</f>
        <v>#REF!</v>
      </c>
      <c r="F65" s="124">
        <v>108.9</v>
      </c>
      <c r="G65" s="123" t="e">
        <f t="shared" si="10"/>
        <v>#REF!</v>
      </c>
      <c r="H65" s="188" t="e">
        <f t="shared" si="11"/>
        <v>#REF!</v>
      </c>
      <c r="I65" s="119" t="e">
        <f>E65*600</f>
        <v>#REF!</v>
      </c>
      <c r="J65" s="76">
        <v>30</v>
      </c>
      <c r="K65" s="144">
        <v>-20</v>
      </c>
      <c r="L65" s="147" t="e">
        <f t="shared" ref="L65:AA65" si="16">IF(L32&gt;=17,ROUNDUP($F$22*L32/17,0),$F$22)</f>
        <v>#REF!</v>
      </c>
      <c r="M65" s="83" t="e">
        <f t="shared" si="16"/>
        <v>#REF!</v>
      </c>
      <c r="N65" s="83" t="e">
        <f t="shared" si="16"/>
        <v>#REF!</v>
      </c>
      <c r="O65" s="83" t="e">
        <f t="shared" si="16"/>
        <v>#REF!</v>
      </c>
      <c r="P65" s="83" t="e">
        <f t="shared" si="16"/>
        <v>#REF!</v>
      </c>
      <c r="Q65" s="83" t="e">
        <f t="shared" si="16"/>
        <v>#REF!</v>
      </c>
      <c r="R65" s="83" t="e">
        <f t="shared" si="16"/>
        <v>#REF!</v>
      </c>
      <c r="S65" s="83" t="e">
        <f t="shared" si="16"/>
        <v>#REF!</v>
      </c>
      <c r="T65" s="83" t="e">
        <f t="shared" si="16"/>
        <v>#REF!</v>
      </c>
      <c r="U65" s="83" t="e">
        <f t="shared" si="16"/>
        <v>#REF!</v>
      </c>
      <c r="V65" s="83" t="e">
        <f t="shared" si="16"/>
        <v>#REF!</v>
      </c>
      <c r="W65" s="83" t="e">
        <f t="shared" si="16"/>
        <v>#REF!</v>
      </c>
      <c r="X65" s="83" t="e">
        <f t="shared" si="16"/>
        <v>#REF!</v>
      </c>
      <c r="Y65" s="83" t="e">
        <f t="shared" si="16"/>
        <v>#REF!</v>
      </c>
      <c r="Z65" s="83" t="e">
        <f t="shared" si="16"/>
        <v>#REF!</v>
      </c>
      <c r="AA65" s="84" t="e">
        <f t="shared" si="16"/>
        <v>#REF!</v>
      </c>
      <c r="AH65" s="184">
        <v>60</v>
      </c>
      <c r="AI65" s="186" t="e">
        <f t="shared" si="6"/>
        <v>#REF!</v>
      </c>
    </row>
    <row r="66" spans="1:35" ht="16.05" customHeight="1" x14ac:dyDescent="0.2">
      <c r="A66" s="58"/>
      <c r="B66" s="50">
        <v>120807</v>
      </c>
      <c r="C66" s="59" t="s">
        <v>119</v>
      </c>
      <c r="D66" s="54" t="s">
        <v>10</v>
      </c>
      <c r="E66" s="95" t="e">
        <f>IF(AND(E16="x",F22&lt;80,J22&lt;800,SUM(E61:E65)&lt;1),1,0)</f>
        <v>#REF!</v>
      </c>
      <c r="F66" s="124">
        <v>141.9</v>
      </c>
      <c r="G66" s="123" t="e">
        <f t="shared" si="10"/>
        <v>#REF!</v>
      </c>
      <c r="H66" s="188" t="e">
        <f t="shared" si="11"/>
        <v>#REF!</v>
      </c>
      <c r="I66" s="119" t="e">
        <f>E66*800</f>
        <v>#REF!</v>
      </c>
      <c r="J66" s="77">
        <v>30</v>
      </c>
      <c r="K66" s="145">
        <v>-25</v>
      </c>
      <c r="L66" s="148" t="e">
        <f t="shared" ref="L66:AA66" si="17">IF(L33&gt;=17,ROUNDUP($F$22*L33/17,0),$F$22)</f>
        <v>#REF!</v>
      </c>
      <c r="M66" s="82" t="e">
        <f t="shared" si="17"/>
        <v>#REF!</v>
      </c>
      <c r="N66" s="82" t="e">
        <f t="shared" si="17"/>
        <v>#REF!</v>
      </c>
      <c r="O66" s="82" t="e">
        <f t="shared" si="17"/>
        <v>#REF!</v>
      </c>
      <c r="P66" s="82" t="e">
        <f t="shared" si="17"/>
        <v>#REF!</v>
      </c>
      <c r="Q66" s="82" t="e">
        <f t="shared" si="17"/>
        <v>#REF!</v>
      </c>
      <c r="R66" s="82" t="e">
        <f t="shared" si="17"/>
        <v>#REF!</v>
      </c>
      <c r="S66" s="82" t="e">
        <f t="shared" si="17"/>
        <v>#REF!</v>
      </c>
      <c r="T66" s="82" t="e">
        <f t="shared" si="17"/>
        <v>#REF!</v>
      </c>
      <c r="U66" s="82" t="e">
        <f t="shared" si="17"/>
        <v>#REF!</v>
      </c>
      <c r="V66" s="82" t="e">
        <f t="shared" si="17"/>
        <v>#REF!</v>
      </c>
      <c r="W66" s="82" t="e">
        <f t="shared" si="17"/>
        <v>#REF!</v>
      </c>
      <c r="X66" s="82" t="e">
        <f t="shared" si="17"/>
        <v>#REF!</v>
      </c>
      <c r="Y66" s="82" t="e">
        <f t="shared" si="17"/>
        <v>#REF!</v>
      </c>
      <c r="Z66" s="82" t="e">
        <f t="shared" si="17"/>
        <v>#REF!</v>
      </c>
      <c r="AA66" s="85" t="e">
        <f t="shared" si="17"/>
        <v>#REF!</v>
      </c>
      <c r="AH66" s="184">
        <v>80</v>
      </c>
      <c r="AI66" s="186" t="e">
        <f t="shared" si="6"/>
        <v>#REF!</v>
      </c>
    </row>
    <row r="67" spans="1:35" ht="16.05" customHeight="1" thickBot="1" x14ac:dyDescent="0.25">
      <c r="A67" s="58"/>
      <c r="B67" s="50">
        <v>121007</v>
      </c>
      <c r="C67" s="59" t="s">
        <v>120</v>
      </c>
      <c r="D67" s="54" t="s">
        <v>10</v>
      </c>
      <c r="E67" s="95" t="e">
        <f>IF(AND(E16="x",F22&lt;100,J22&lt;1000,SUM(E61:E66)&lt;1),1,0)</f>
        <v>#REF!</v>
      </c>
      <c r="F67" s="124">
        <v>172.7</v>
      </c>
      <c r="G67" s="123" t="e">
        <f t="shared" si="10"/>
        <v>#REF!</v>
      </c>
      <c r="H67" s="188" t="e">
        <f t="shared" si="11"/>
        <v>#REF!</v>
      </c>
      <c r="I67" s="119" t="e">
        <f>E67*1000</f>
        <v>#REF!</v>
      </c>
      <c r="J67" s="78">
        <v>30</v>
      </c>
      <c r="K67" s="146">
        <v>-35</v>
      </c>
      <c r="L67" s="149" t="e">
        <f t="shared" ref="L67:AA67" si="18">IF(L34&gt;=17,ROUNDUP($F$22*L34/17,0),$F$22)</f>
        <v>#REF!</v>
      </c>
      <c r="M67" s="86" t="e">
        <f t="shared" si="18"/>
        <v>#REF!</v>
      </c>
      <c r="N67" s="86" t="e">
        <f t="shared" si="18"/>
        <v>#REF!</v>
      </c>
      <c r="O67" s="86" t="e">
        <f t="shared" si="18"/>
        <v>#REF!</v>
      </c>
      <c r="P67" s="86" t="e">
        <f t="shared" si="18"/>
        <v>#REF!</v>
      </c>
      <c r="Q67" s="86" t="e">
        <f t="shared" si="18"/>
        <v>#REF!</v>
      </c>
      <c r="R67" s="86" t="e">
        <f t="shared" si="18"/>
        <v>#REF!</v>
      </c>
      <c r="S67" s="86" t="e">
        <f t="shared" si="18"/>
        <v>#REF!</v>
      </c>
      <c r="T67" s="86" t="e">
        <f t="shared" si="18"/>
        <v>#REF!</v>
      </c>
      <c r="U67" s="86" t="e">
        <f t="shared" si="18"/>
        <v>#REF!</v>
      </c>
      <c r="V67" s="86" t="e">
        <f t="shared" si="18"/>
        <v>#REF!</v>
      </c>
      <c r="W67" s="86" t="e">
        <f t="shared" si="18"/>
        <v>#REF!</v>
      </c>
      <c r="X67" s="86" t="e">
        <f t="shared" si="18"/>
        <v>#REF!</v>
      </c>
      <c r="Y67" s="86" t="e">
        <f t="shared" si="18"/>
        <v>#REF!</v>
      </c>
      <c r="Z67" s="86" t="e">
        <f t="shared" si="18"/>
        <v>#REF!</v>
      </c>
      <c r="AA67" s="87" t="e">
        <f t="shared" si="18"/>
        <v>#REF!</v>
      </c>
      <c r="AH67" s="184">
        <v>100</v>
      </c>
      <c r="AI67" s="186" t="e">
        <f t="shared" si="6"/>
        <v>#REF!</v>
      </c>
    </row>
    <row r="68" spans="1:35" ht="16.05" customHeight="1" x14ac:dyDescent="0.2">
      <c r="A68" s="58"/>
      <c r="B68" s="50">
        <v>121207</v>
      </c>
      <c r="C68" s="59" t="s">
        <v>121</v>
      </c>
      <c r="D68" s="54" t="s">
        <v>10</v>
      </c>
      <c r="E68" s="95" t="e">
        <f>IF(AND(E16="x",F22&lt;120,J22&lt;1200,SUM(E61:E67)&lt;1),1,0)</f>
        <v>#REF!</v>
      </c>
      <c r="F68" s="124">
        <v>222.2</v>
      </c>
      <c r="G68" s="123" t="e">
        <f t="shared" si="10"/>
        <v>#REF!</v>
      </c>
      <c r="H68" s="188" t="e">
        <f t="shared" si="11"/>
        <v>#REF!</v>
      </c>
      <c r="I68" s="119" t="e">
        <f>E68*1200</f>
        <v>#REF!</v>
      </c>
      <c r="J68" s="81">
        <v>50</v>
      </c>
      <c r="K68" s="150">
        <v>-20</v>
      </c>
      <c r="L68" s="151" t="e">
        <f t="shared" ref="L68:AA68" si="19">IF(L35&gt;=17,ROUNDUP($F$22*L35/17,0),$F$22)</f>
        <v>#REF!</v>
      </c>
      <c r="M68" s="152" t="e">
        <f t="shared" si="19"/>
        <v>#REF!</v>
      </c>
      <c r="N68" s="152" t="e">
        <f t="shared" si="19"/>
        <v>#REF!</v>
      </c>
      <c r="O68" s="152" t="e">
        <f t="shared" si="19"/>
        <v>#REF!</v>
      </c>
      <c r="P68" s="152" t="e">
        <f t="shared" si="19"/>
        <v>#REF!</v>
      </c>
      <c r="Q68" s="152" t="e">
        <f t="shared" si="19"/>
        <v>#REF!</v>
      </c>
      <c r="R68" s="152" t="e">
        <f t="shared" si="19"/>
        <v>#REF!</v>
      </c>
      <c r="S68" s="152" t="e">
        <f t="shared" si="19"/>
        <v>#REF!</v>
      </c>
      <c r="T68" s="152" t="e">
        <f t="shared" si="19"/>
        <v>#REF!</v>
      </c>
      <c r="U68" s="152" t="e">
        <f t="shared" si="19"/>
        <v>#REF!</v>
      </c>
      <c r="V68" s="152" t="e">
        <f t="shared" si="19"/>
        <v>#REF!</v>
      </c>
      <c r="W68" s="152" t="e">
        <f t="shared" si="19"/>
        <v>#REF!</v>
      </c>
      <c r="X68" s="152" t="e">
        <f t="shared" si="19"/>
        <v>#REF!</v>
      </c>
      <c r="Y68" s="152" t="e">
        <f t="shared" si="19"/>
        <v>#REF!</v>
      </c>
      <c r="Z68" s="152" t="e">
        <f t="shared" si="19"/>
        <v>#REF!</v>
      </c>
      <c r="AA68" s="153" t="e">
        <f t="shared" si="19"/>
        <v>#REF!</v>
      </c>
      <c r="AH68" s="184">
        <v>120</v>
      </c>
      <c r="AI68" s="186" t="e">
        <f t="shared" si="6"/>
        <v>#REF!</v>
      </c>
    </row>
    <row r="69" spans="1:35" ht="20.100000000000001" customHeight="1" x14ac:dyDescent="0.2">
      <c r="A69" s="58"/>
      <c r="B69" s="50">
        <v>121507</v>
      </c>
      <c r="C69" s="59" t="s">
        <v>122</v>
      </c>
      <c r="D69" s="54" t="s">
        <v>10</v>
      </c>
      <c r="E69" s="95" t="e">
        <f>IF(AND(E16="x",F22&lt;150,J22&lt;1500,SUM(E61:E68)&lt;1),1,0)</f>
        <v>#REF!</v>
      </c>
      <c r="F69" s="124">
        <v>264</v>
      </c>
      <c r="G69" s="123" t="e">
        <f t="shared" si="10"/>
        <v>#REF!</v>
      </c>
      <c r="H69" s="188" t="e">
        <f t="shared" si="11"/>
        <v>#REF!</v>
      </c>
      <c r="I69" s="119" t="e">
        <f>E69*1500</f>
        <v>#REF!</v>
      </c>
      <c r="J69" s="77">
        <v>50</v>
      </c>
      <c r="K69" s="145">
        <v>-25</v>
      </c>
      <c r="L69" s="148" t="e">
        <f t="shared" ref="L69:AA69" si="20">IF(L36&gt;=17,ROUNDUP($F$22*L36/17,0),$F$22)</f>
        <v>#REF!</v>
      </c>
      <c r="M69" s="82" t="e">
        <f t="shared" si="20"/>
        <v>#REF!</v>
      </c>
      <c r="N69" s="82" t="e">
        <f t="shared" si="20"/>
        <v>#REF!</v>
      </c>
      <c r="O69" s="82" t="e">
        <f t="shared" si="20"/>
        <v>#REF!</v>
      </c>
      <c r="P69" s="82" t="e">
        <f t="shared" si="20"/>
        <v>#REF!</v>
      </c>
      <c r="Q69" s="82" t="e">
        <f t="shared" si="20"/>
        <v>#REF!</v>
      </c>
      <c r="R69" s="82" t="e">
        <f t="shared" si="20"/>
        <v>#REF!</v>
      </c>
      <c r="S69" s="82" t="e">
        <f t="shared" si="20"/>
        <v>#REF!</v>
      </c>
      <c r="T69" s="82" t="e">
        <f t="shared" si="20"/>
        <v>#REF!</v>
      </c>
      <c r="U69" s="82" t="e">
        <f t="shared" si="20"/>
        <v>#REF!</v>
      </c>
      <c r="V69" s="82" t="e">
        <f t="shared" si="20"/>
        <v>#REF!</v>
      </c>
      <c r="W69" s="82" t="e">
        <f t="shared" si="20"/>
        <v>#REF!</v>
      </c>
      <c r="X69" s="82" t="e">
        <f t="shared" si="20"/>
        <v>#REF!</v>
      </c>
      <c r="Y69" s="82" t="e">
        <f t="shared" si="20"/>
        <v>#REF!</v>
      </c>
      <c r="Z69" s="82" t="e">
        <f t="shared" si="20"/>
        <v>#REF!</v>
      </c>
      <c r="AA69" s="85" t="e">
        <f t="shared" si="20"/>
        <v>#REF!</v>
      </c>
      <c r="AH69" s="184">
        <v>150</v>
      </c>
      <c r="AI69" s="186" t="e">
        <f t="shared" si="6"/>
        <v>#REF!</v>
      </c>
    </row>
    <row r="70" spans="1:35" ht="20.399999999999999" thickBot="1" x14ac:dyDescent="0.25">
      <c r="A70" s="68"/>
      <c r="B70" s="167">
        <v>121907</v>
      </c>
      <c r="C70" s="168" t="s">
        <v>123</v>
      </c>
      <c r="D70" s="71" t="s">
        <v>10</v>
      </c>
      <c r="E70" s="169" t="e">
        <f>IF(AND(E16="x",F22&lt;190,J22&lt;1900,SUM(E61:E69)&lt;1),1,0)</f>
        <v>#REF!</v>
      </c>
      <c r="F70" s="125">
        <v>322.3</v>
      </c>
      <c r="G70" s="126" t="e">
        <f t="shared" si="10"/>
        <v>#REF!</v>
      </c>
      <c r="H70" s="188" t="e">
        <f t="shared" si="11"/>
        <v>#REF!</v>
      </c>
      <c r="I70" s="119" t="e">
        <f>E70*1900</f>
        <v>#REF!</v>
      </c>
      <c r="J70" s="78">
        <v>50</v>
      </c>
      <c r="K70" s="146">
        <v>-35</v>
      </c>
      <c r="L70" s="149" t="e">
        <f t="shared" ref="L70:AA70" si="21">IF(L37&gt;=17,ROUNDUP($F$22*L37/17,0),$F$22)</f>
        <v>#REF!</v>
      </c>
      <c r="M70" s="86" t="e">
        <f t="shared" si="21"/>
        <v>#REF!</v>
      </c>
      <c r="N70" s="86" t="e">
        <f t="shared" si="21"/>
        <v>#REF!</v>
      </c>
      <c r="O70" s="86" t="e">
        <f t="shared" si="21"/>
        <v>#REF!</v>
      </c>
      <c r="P70" s="86" t="e">
        <f t="shared" si="21"/>
        <v>#REF!</v>
      </c>
      <c r="Q70" s="86" t="e">
        <f t="shared" si="21"/>
        <v>#REF!</v>
      </c>
      <c r="R70" s="86" t="e">
        <f t="shared" si="21"/>
        <v>#REF!</v>
      </c>
      <c r="S70" s="86" t="e">
        <f t="shared" si="21"/>
        <v>#REF!</v>
      </c>
      <c r="T70" s="86" t="e">
        <f t="shared" si="21"/>
        <v>#REF!</v>
      </c>
      <c r="U70" s="86" t="e">
        <f t="shared" si="21"/>
        <v>#REF!</v>
      </c>
      <c r="V70" s="86" t="e">
        <f t="shared" si="21"/>
        <v>#REF!</v>
      </c>
      <c r="W70" s="86" t="e">
        <f t="shared" si="21"/>
        <v>#REF!</v>
      </c>
      <c r="X70" s="86" t="e">
        <f t="shared" si="21"/>
        <v>#REF!</v>
      </c>
      <c r="Y70" s="86" t="e">
        <f t="shared" si="21"/>
        <v>#REF!</v>
      </c>
      <c r="Z70" s="86" t="e">
        <f t="shared" si="21"/>
        <v>#REF!</v>
      </c>
      <c r="AA70" s="87" t="e">
        <f t="shared" si="21"/>
        <v>#REF!</v>
      </c>
      <c r="AH70" s="185">
        <v>190</v>
      </c>
      <c r="AI70" s="186" t="e">
        <f t="shared" si="6"/>
        <v>#REF!</v>
      </c>
    </row>
    <row r="71" spans="1:35" ht="20.100000000000001" customHeight="1" thickBot="1" x14ac:dyDescent="0.25">
      <c r="A71" s="676" t="s">
        <v>73</v>
      </c>
      <c r="B71" s="677"/>
      <c r="C71" s="677"/>
      <c r="D71" s="677"/>
      <c r="E71" s="675"/>
      <c r="F71" s="675"/>
      <c r="G71" s="173"/>
      <c r="H71" s="177" t="e">
        <f>SUM(H72:H76)</f>
        <v>#REF!</v>
      </c>
      <c r="I71" s="118" t="e">
        <f>SUM(I29:I70)</f>
        <v>#REF!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H71" s="5" t="s">
        <v>163</v>
      </c>
      <c r="AI71" s="5" t="e">
        <f>SUM(AI29:AI70)</f>
        <v>#REF!</v>
      </c>
    </row>
    <row r="72" spans="1:35" x14ac:dyDescent="0.2">
      <c r="A72" s="99"/>
      <c r="B72" s="170">
        <v>160100</v>
      </c>
      <c r="C72" s="171" t="s">
        <v>71</v>
      </c>
      <c r="D72" s="100" t="s">
        <v>10</v>
      </c>
      <c r="E72" s="190" t="e">
        <f>IF(OR(E14="x", E15="x"),1,0)</f>
        <v>#REF!</v>
      </c>
      <c r="F72" s="172">
        <v>12</v>
      </c>
      <c r="G72" s="121" t="e">
        <f>E72*F72</f>
        <v>#REF!</v>
      </c>
      <c r="H72" s="188" t="e">
        <f t="shared" si="11"/>
        <v>#REF!</v>
      </c>
      <c r="I72" s="127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20"/>
      <c r="V72" s="20"/>
      <c r="W72" s="20"/>
      <c r="X72" s="20"/>
      <c r="Y72" s="20"/>
      <c r="Z72" s="20"/>
      <c r="AA72" s="20"/>
      <c r="AH72" s="5" t="s">
        <v>164</v>
      </c>
      <c r="AI72" s="5" t="e">
        <f>AI71*2</f>
        <v>#REF!</v>
      </c>
    </row>
    <row r="73" spans="1:35" ht="18" thickBot="1" x14ac:dyDescent="0.25">
      <c r="A73" s="58"/>
      <c r="B73" s="63">
        <v>891551</v>
      </c>
      <c r="C73" s="64" t="s">
        <v>88</v>
      </c>
      <c r="D73" s="54" t="s">
        <v>10</v>
      </c>
      <c r="E73" s="128">
        <f>IF(ISNUMBER(F22), 1, 0)</f>
        <v>0</v>
      </c>
      <c r="F73" s="124">
        <v>87</v>
      </c>
      <c r="G73" s="123">
        <f>E73*F73</f>
        <v>0</v>
      </c>
      <c r="H73" s="188">
        <f t="shared" si="11"/>
        <v>0</v>
      </c>
      <c r="I73" s="127"/>
      <c r="J73" s="19"/>
      <c r="K73" s="638" t="s">
        <v>159</v>
      </c>
      <c r="L73" s="639"/>
      <c r="M73" s="639"/>
      <c r="N73" s="639"/>
      <c r="O73" s="639"/>
      <c r="P73" s="639"/>
      <c r="Q73" s="639"/>
      <c r="R73" s="639"/>
      <c r="S73" s="639"/>
      <c r="T73" s="639"/>
      <c r="U73" s="639"/>
      <c r="V73" s="639"/>
      <c r="W73" s="639"/>
      <c r="X73" s="639"/>
      <c r="Y73" s="639"/>
      <c r="Z73" s="639"/>
      <c r="AA73" s="639"/>
    </row>
    <row r="74" spans="1:35" ht="22.8" x14ac:dyDescent="0.2">
      <c r="A74" s="58"/>
      <c r="B74" s="62">
        <v>892551</v>
      </c>
      <c r="C74" s="65" t="s">
        <v>96</v>
      </c>
      <c r="D74" s="66" t="s">
        <v>10</v>
      </c>
      <c r="E74" s="128">
        <f>IF(ISNUMBER(F22), 1, 0)</f>
        <v>0</v>
      </c>
      <c r="F74" s="124">
        <v>101</v>
      </c>
      <c r="G74" s="123">
        <f t="shared" ref="G74:G75" si="22">E74*F74</f>
        <v>0</v>
      </c>
      <c r="H74" s="188">
        <f t="shared" si="11"/>
        <v>0</v>
      </c>
      <c r="I74" s="127"/>
      <c r="J74" s="19"/>
      <c r="K74" s="640" t="s">
        <v>90</v>
      </c>
      <c r="L74" s="641"/>
      <c r="M74" s="641"/>
      <c r="N74" s="641"/>
      <c r="O74" s="641"/>
      <c r="P74" s="641"/>
      <c r="Q74" s="641"/>
      <c r="R74" s="641"/>
      <c r="S74" s="641"/>
      <c r="T74" s="641"/>
      <c r="U74" s="641"/>
      <c r="V74" s="641"/>
      <c r="W74" s="641"/>
      <c r="X74" s="641"/>
      <c r="Y74" s="641"/>
      <c r="Z74" s="641"/>
      <c r="AA74" s="642"/>
    </row>
    <row r="75" spans="1:35" ht="16.2" x14ac:dyDescent="0.2">
      <c r="A75" s="58"/>
      <c r="B75" s="67">
        <v>891650</v>
      </c>
      <c r="C75" s="64" t="s">
        <v>139</v>
      </c>
      <c r="D75" s="54" t="s">
        <v>10</v>
      </c>
      <c r="E75" s="129"/>
      <c r="F75" s="124">
        <v>40</v>
      </c>
      <c r="G75" s="123">
        <f t="shared" si="22"/>
        <v>0</v>
      </c>
      <c r="H75" s="188">
        <f t="shared" si="11"/>
        <v>0</v>
      </c>
      <c r="I75" s="127"/>
      <c r="J75" s="19"/>
      <c r="K75" s="163" t="s">
        <v>134</v>
      </c>
      <c r="L75" s="154" t="s">
        <v>127</v>
      </c>
      <c r="M75" s="154" t="s">
        <v>128</v>
      </c>
      <c r="N75" s="154">
        <v>1</v>
      </c>
      <c r="O75" s="154" t="s">
        <v>129</v>
      </c>
      <c r="P75" s="154" t="s">
        <v>130</v>
      </c>
      <c r="Q75" s="154">
        <v>2</v>
      </c>
      <c r="R75" s="154" t="s">
        <v>131</v>
      </c>
      <c r="S75" s="154">
        <v>3</v>
      </c>
      <c r="T75" s="154" t="s">
        <v>132</v>
      </c>
      <c r="U75" s="154">
        <v>4</v>
      </c>
      <c r="V75" s="154" t="s">
        <v>133</v>
      </c>
      <c r="W75" s="154">
        <v>5</v>
      </c>
      <c r="X75" s="154">
        <v>6</v>
      </c>
      <c r="Y75" s="154">
        <v>8</v>
      </c>
      <c r="Z75" s="154">
        <v>10</v>
      </c>
      <c r="AA75" s="164">
        <v>12</v>
      </c>
    </row>
    <row r="76" spans="1:35" ht="16.8" thickBot="1" x14ac:dyDescent="0.25">
      <c r="A76" s="68"/>
      <c r="B76" s="69">
        <v>720200</v>
      </c>
      <c r="C76" s="70" t="s">
        <v>60</v>
      </c>
      <c r="D76" s="71" t="s">
        <v>61</v>
      </c>
      <c r="E76" s="130" t="e">
        <f>IF(E11="x",(ROUNDUP(((ROUNDUP((F22+1)*(PI()*(G22/1000)),0))+AI72)/22.5,0)),(ROUNDUP(((ROUNDUP((F22+1)*(PI()*(G22/1000)),0))+AI71)/22.5,0)))</f>
        <v>#REF!</v>
      </c>
      <c r="F76" s="124">
        <v>5</v>
      </c>
      <c r="G76" s="123" t="e">
        <f>E76*F76</f>
        <v>#REF!</v>
      </c>
      <c r="H76" s="188" t="e">
        <f t="shared" si="11"/>
        <v>#REF!</v>
      </c>
      <c r="I76" s="127"/>
      <c r="J76" s="19"/>
      <c r="K76" s="165" t="s">
        <v>100</v>
      </c>
      <c r="L76" s="155">
        <v>21</v>
      </c>
      <c r="M76" s="155">
        <v>27</v>
      </c>
      <c r="N76" s="155">
        <v>34</v>
      </c>
      <c r="O76" s="155">
        <v>42</v>
      </c>
      <c r="P76" s="155">
        <v>48</v>
      </c>
      <c r="Q76" s="155">
        <v>60</v>
      </c>
      <c r="R76" s="155">
        <v>73</v>
      </c>
      <c r="S76" s="155">
        <v>89</v>
      </c>
      <c r="T76" s="155">
        <v>102</v>
      </c>
      <c r="U76" s="155">
        <v>114</v>
      </c>
      <c r="V76" s="155">
        <v>127</v>
      </c>
      <c r="W76" s="155">
        <v>141</v>
      </c>
      <c r="X76" s="155">
        <v>168</v>
      </c>
      <c r="Y76" s="155">
        <v>219</v>
      </c>
      <c r="Z76" s="155">
        <v>273</v>
      </c>
      <c r="AA76" s="156">
        <v>324</v>
      </c>
    </row>
    <row r="77" spans="1:35" ht="16.8" thickBot="1" x14ac:dyDescent="0.25">
      <c r="A77" s="678" t="s">
        <v>18</v>
      </c>
      <c r="B77" s="679"/>
      <c r="C77" s="679"/>
      <c r="D77" s="679"/>
      <c r="E77" s="679"/>
      <c r="F77" s="679"/>
      <c r="G77" s="72" t="e">
        <f>SUM(G29:G76)</f>
        <v>#REF!</v>
      </c>
      <c r="J77" s="19"/>
      <c r="K77" s="166" t="s">
        <v>99</v>
      </c>
      <c r="L77" s="159">
        <v>15</v>
      </c>
      <c r="M77" s="159">
        <v>20</v>
      </c>
      <c r="N77" s="159">
        <v>25</v>
      </c>
      <c r="O77" s="159">
        <v>32</v>
      </c>
      <c r="P77" s="159">
        <v>40</v>
      </c>
      <c r="Q77" s="159">
        <v>50</v>
      </c>
      <c r="R77" s="159">
        <v>65</v>
      </c>
      <c r="S77" s="159">
        <v>80</v>
      </c>
      <c r="T77" s="159">
        <v>90</v>
      </c>
      <c r="U77" s="159">
        <v>100</v>
      </c>
      <c r="V77" s="159">
        <v>115</v>
      </c>
      <c r="W77" s="159">
        <v>125</v>
      </c>
      <c r="X77" s="159">
        <v>150</v>
      </c>
      <c r="Y77" s="159">
        <v>200</v>
      </c>
      <c r="Z77" s="159">
        <v>250</v>
      </c>
      <c r="AA77" s="160">
        <v>300</v>
      </c>
    </row>
    <row r="78" spans="1:35" ht="15" thickBot="1" x14ac:dyDescent="0.25">
      <c r="A78" s="73">
        <v>0</v>
      </c>
      <c r="B78" s="680" t="s">
        <v>62</v>
      </c>
      <c r="C78" s="681"/>
      <c r="D78" s="681"/>
      <c r="E78" s="681"/>
      <c r="F78" s="681"/>
      <c r="G78" s="74" t="e">
        <f>G77*(1-A78)</f>
        <v>#REF!</v>
      </c>
      <c r="J78" s="19"/>
      <c r="K78" s="161" t="s">
        <v>126</v>
      </c>
      <c r="L78" s="646" t="s">
        <v>160</v>
      </c>
      <c r="M78" s="647"/>
      <c r="N78" s="647"/>
      <c r="O78" s="647"/>
      <c r="P78" s="647"/>
      <c r="Q78" s="647"/>
      <c r="R78" s="647"/>
      <c r="S78" s="647"/>
      <c r="T78" s="647"/>
      <c r="U78" s="647"/>
      <c r="V78" s="647"/>
      <c r="W78" s="647"/>
      <c r="X78" s="647"/>
      <c r="Y78" s="647"/>
      <c r="Z78" s="647"/>
      <c r="AA78" s="648"/>
    </row>
    <row r="79" spans="1:35" ht="20.399999999999999" thickBot="1" x14ac:dyDescent="0.25">
      <c r="A79" s="630" t="s">
        <v>19</v>
      </c>
      <c r="B79" s="631"/>
      <c r="C79" s="631"/>
      <c r="D79" s="631"/>
      <c r="E79" s="631"/>
      <c r="F79" s="631"/>
      <c r="G79" s="75" t="e">
        <f>G78*1.19</f>
        <v>#REF!</v>
      </c>
      <c r="J79" s="76">
        <v>20</v>
      </c>
      <c r="K79" s="150">
        <v>-20</v>
      </c>
      <c r="L79" s="151" t="e">
        <f>IF(L29&gt;=20,ROUNDUP($F$22*L29/20,0),$F$22)</f>
        <v>#REF!</v>
      </c>
      <c r="M79" s="152" t="e">
        <f t="shared" ref="M79:AA79" si="23">IF(M29&gt;=20,ROUNDUP($F$22*M29/20,0),$F$22)</f>
        <v>#REF!</v>
      </c>
      <c r="N79" s="152" t="e">
        <f t="shared" si="23"/>
        <v>#REF!</v>
      </c>
      <c r="O79" s="152" t="e">
        <f t="shared" si="23"/>
        <v>#REF!</v>
      </c>
      <c r="P79" s="152" t="e">
        <f t="shared" si="23"/>
        <v>#REF!</v>
      </c>
      <c r="Q79" s="152" t="e">
        <f t="shared" si="23"/>
        <v>#REF!</v>
      </c>
      <c r="R79" s="152" t="e">
        <f t="shared" si="23"/>
        <v>#REF!</v>
      </c>
      <c r="S79" s="152" t="e">
        <f t="shared" si="23"/>
        <v>#REF!</v>
      </c>
      <c r="T79" s="152" t="e">
        <f t="shared" si="23"/>
        <v>#REF!</v>
      </c>
      <c r="U79" s="152" t="e">
        <f t="shared" si="23"/>
        <v>#REF!</v>
      </c>
      <c r="V79" s="152" t="e">
        <f t="shared" si="23"/>
        <v>#REF!</v>
      </c>
      <c r="W79" s="152" t="e">
        <f t="shared" si="23"/>
        <v>#REF!</v>
      </c>
      <c r="X79" s="152" t="e">
        <f t="shared" si="23"/>
        <v>#REF!</v>
      </c>
      <c r="Y79" s="152" t="e">
        <f t="shared" si="23"/>
        <v>#REF!</v>
      </c>
      <c r="Z79" s="152" t="e">
        <f t="shared" si="23"/>
        <v>#REF!</v>
      </c>
      <c r="AA79" s="153" t="e">
        <f t="shared" si="23"/>
        <v>#REF!</v>
      </c>
    </row>
    <row r="80" spans="1:35" ht="19.8" x14ac:dyDescent="0.2">
      <c r="J80" s="77">
        <v>20</v>
      </c>
      <c r="K80" s="145">
        <v>-25</v>
      </c>
      <c r="L80" s="148" t="e">
        <f t="shared" ref="L80:AA80" si="24">IF(L30&gt;=20,ROUNDUP($F$22*L30/20,0),$F$22)</f>
        <v>#REF!</v>
      </c>
      <c r="M80" s="82" t="e">
        <f t="shared" si="24"/>
        <v>#REF!</v>
      </c>
      <c r="N80" s="82" t="e">
        <f t="shared" si="24"/>
        <v>#REF!</v>
      </c>
      <c r="O80" s="82" t="e">
        <f t="shared" si="24"/>
        <v>#REF!</v>
      </c>
      <c r="P80" s="82" t="e">
        <f t="shared" si="24"/>
        <v>#REF!</v>
      </c>
      <c r="Q80" s="82" t="e">
        <f t="shared" si="24"/>
        <v>#REF!</v>
      </c>
      <c r="R80" s="82" t="e">
        <f t="shared" si="24"/>
        <v>#REF!</v>
      </c>
      <c r="S80" s="82" t="e">
        <f t="shared" si="24"/>
        <v>#REF!</v>
      </c>
      <c r="T80" s="82" t="e">
        <f t="shared" si="24"/>
        <v>#REF!</v>
      </c>
      <c r="U80" s="82" t="e">
        <f t="shared" si="24"/>
        <v>#REF!</v>
      </c>
      <c r="V80" s="82" t="e">
        <f t="shared" si="24"/>
        <v>#REF!</v>
      </c>
      <c r="W80" s="82" t="e">
        <f t="shared" si="24"/>
        <v>#REF!</v>
      </c>
      <c r="X80" s="82" t="e">
        <f t="shared" si="24"/>
        <v>#REF!</v>
      </c>
      <c r="Y80" s="82" t="e">
        <f t="shared" si="24"/>
        <v>#REF!</v>
      </c>
      <c r="Z80" s="82" t="e">
        <f t="shared" si="24"/>
        <v>#REF!</v>
      </c>
      <c r="AA80" s="85" t="e">
        <f t="shared" si="24"/>
        <v>#REF!</v>
      </c>
    </row>
    <row r="81" spans="1:27" ht="20.399999999999999" thickBot="1" x14ac:dyDescent="0.25">
      <c r="A81" s="682" t="s">
        <v>20</v>
      </c>
      <c r="B81" s="683"/>
      <c r="C81" s="683"/>
      <c r="D81" s="683"/>
      <c r="E81" s="683"/>
      <c r="F81" s="683"/>
      <c r="G81" s="683"/>
      <c r="J81" s="78">
        <v>20</v>
      </c>
      <c r="K81" s="146">
        <v>-35</v>
      </c>
      <c r="L81" s="149" t="e">
        <f t="shared" ref="L81:AA81" si="25">IF(L31&gt;=20,ROUNDUP($F$22*L31/20,0),$F$22)</f>
        <v>#REF!</v>
      </c>
      <c r="M81" s="86" t="e">
        <f t="shared" si="25"/>
        <v>#REF!</v>
      </c>
      <c r="N81" s="86" t="e">
        <f t="shared" si="25"/>
        <v>#REF!</v>
      </c>
      <c r="O81" s="86" t="e">
        <f t="shared" si="25"/>
        <v>#REF!</v>
      </c>
      <c r="P81" s="86" t="e">
        <f t="shared" si="25"/>
        <v>#REF!</v>
      </c>
      <c r="Q81" s="86" t="e">
        <f t="shared" si="25"/>
        <v>#REF!</v>
      </c>
      <c r="R81" s="86" t="e">
        <f t="shared" si="25"/>
        <v>#REF!</v>
      </c>
      <c r="S81" s="86" t="e">
        <f t="shared" si="25"/>
        <v>#REF!</v>
      </c>
      <c r="T81" s="86" t="e">
        <f t="shared" si="25"/>
        <v>#REF!</v>
      </c>
      <c r="U81" s="86" t="e">
        <f t="shared" si="25"/>
        <v>#REF!</v>
      </c>
      <c r="V81" s="86" t="e">
        <f t="shared" si="25"/>
        <v>#REF!</v>
      </c>
      <c r="W81" s="86" t="e">
        <f t="shared" si="25"/>
        <v>#REF!</v>
      </c>
      <c r="X81" s="86" t="e">
        <f t="shared" si="25"/>
        <v>#REF!</v>
      </c>
      <c r="Y81" s="86" t="e">
        <f t="shared" si="25"/>
        <v>#REF!</v>
      </c>
      <c r="Z81" s="86" t="e">
        <f t="shared" si="25"/>
        <v>#REF!</v>
      </c>
      <c r="AA81" s="87" t="e">
        <f t="shared" si="25"/>
        <v>#REF!</v>
      </c>
    </row>
    <row r="82" spans="1:27" ht="19.8" x14ac:dyDescent="0.3">
      <c r="A82" s="684" t="s">
        <v>86</v>
      </c>
      <c r="B82" s="685"/>
      <c r="C82" s="685"/>
      <c r="D82" s="685"/>
      <c r="E82" s="685"/>
      <c r="F82" s="685"/>
      <c r="G82" s="685"/>
      <c r="J82" s="76">
        <v>30</v>
      </c>
      <c r="K82" s="144">
        <v>-20</v>
      </c>
      <c r="L82" s="147" t="e">
        <f t="shared" ref="L82:AA82" si="26">IF(L32&gt;=20,ROUNDUP($F$22*L32/20,0),$F$22)</f>
        <v>#REF!</v>
      </c>
      <c r="M82" s="83" t="e">
        <f t="shared" si="26"/>
        <v>#REF!</v>
      </c>
      <c r="N82" s="83" t="e">
        <f t="shared" si="26"/>
        <v>#REF!</v>
      </c>
      <c r="O82" s="83" t="e">
        <f t="shared" si="26"/>
        <v>#REF!</v>
      </c>
      <c r="P82" s="83" t="e">
        <f t="shared" si="26"/>
        <v>#REF!</v>
      </c>
      <c r="Q82" s="83" t="e">
        <f t="shared" si="26"/>
        <v>#REF!</v>
      </c>
      <c r="R82" s="83" t="e">
        <f t="shared" si="26"/>
        <v>#REF!</v>
      </c>
      <c r="S82" s="83" t="e">
        <f t="shared" si="26"/>
        <v>#REF!</v>
      </c>
      <c r="T82" s="83" t="e">
        <f t="shared" si="26"/>
        <v>#REF!</v>
      </c>
      <c r="U82" s="83" t="e">
        <f t="shared" si="26"/>
        <v>#REF!</v>
      </c>
      <c r="V82" s="83" t="e">
        <f t="shared" si="26"/>
        <v>#REF!</v>
      </c>
      <c r="W82" s="83" t="e">
        <f t="shared" si="26"/>
        <v>#REF!</v>
      </c>
      <c r="X82" s="83" t="e">
        <f t="shared" si="26"/>
        <v>#REF!</v>
      </c>
      <c r="Y82" s="83" t="e">
        <f t="shared" si="26"/>
        <v>#REF!</v>
      </c>
      <c r="Z82" s="83" t="e">
        <f t="shared" si="26"/>
        <v>#REF!</v>
      </c>
      <c r="AA82" s="84" t="e">
        <f t="shared" si="26"/>
        <v>#REF!</v>
      </c>
    </row>
    <row r="83" spans="1:27" ht="19.8" x14ac:dyDescent="0.3">
      <c r="A83" s="684" t="s">
        <v>89</v>
      </c>
      <c r="B83" s="685"/>
      <c r="C83" s="685"/>
      <c r="D83" s="187" t="e">
        <f>I71/1000</f>
        <v>#REF!</v>
      </c>
      <c r="E83" s="22"/>
      <c r="F83" s="22"/>
      <c r="G83" s="22"/>
      <c r="J83" s="77">
        <v>30</v>
      </c>
      <c r="K83" s="145">
        <v>-25</v>
      </c>
      <c r="L83" s="148" t="e">
        <f t="shared" ref="L83:AA83" si="27">IF(L33&gt;=20,ROUNDUP($F$22*L33/20,0),$F$22)</f>
        <v>#REF!</v>
      </c>
      <c r="M83" s="82" t="e">
        <f t="shared" si="27"/>
        <v>#REF!</v>
      </c>
      <c r="N83" s="82" t="e">
        <f t="shared" si="27"/>
        <v>#REF!</v>
      </c>
      <c r="O83" s="82" t="e">
        <f t="shared" si="27"/>
        <v>#REF!</v>
      </c>
      <c r="P83" s="82" t="e">
        <f t="shared" si="27"/>
        <v>#REF!</v>
      </c>
      <c r="Q83" s="82" t="e">
        <f t="shared" si="27"/>
        <v>#REF!</v>
      </c>
      <c r="R83" s="82" t="e">
        <f t="shared" si="27"/>
        <v>#REF!</v>
      </c>
      <c r="S83" s="82" t="e">
        <f t="shared" si="27"/>
        <v>#REF!</v>
      </c>
      <c r="T83" s="82" t="e">
        <f t="shared" si="27"/>
        <v>#REF!</v>
      </c>
      <c r="U83" s="82" t="e">
        <f t="shared" si="27"/>
        <v>#REF!</v>
      </c>
      <c r="V83" s="82" t="e">
        <f t="shared" si="27"/>
        <v>#REF!</v>
      </c>
      <c r="W83" s="82" t="e">
        <f t="shared" si="27"/>
        <v>#REF!</v>
      </c>
      <c r="X83" s="82" t="e">
        <f t="shared" si="27"/>
        <v>#REF!</v>
      </c>
      <c r="Y83" s="82" t="e">
        <f t="shared" si="27"/>
        <v>#REF!</v>
      </c>
      <c r="Z83" s="82" t="e">
        <f t="shared" si="27"/>
        <v>#REF!</v>
      </c>
      <c r="AA83" s="85" t="e">
        <f t="shared" si="27"/>
        <v>#REF!</v>
      </c>
    </row>
    <row r="84" spans="1:27" ht="20.399999999999999" thickBot="1" x14ac:dyDescent="0.25">
      <c r="D84" s="5" t="s">
        <v>82</v>
      </c>
      <c r="J84" s="78">
        <v>30</v>
      </c>
      <c r="K84" s="146">
        <v>-35</v>
      </c>
      <c r="L84" s="149" t="e">
        <f t="shared" ref="L84:AA84" si="28">IF(L34&gt;=20,ROUNDUP($F$22*L34/20,0),$F$22)</f>
        <v>#REF!</v>
      </c>
      <c r="M84" s="86" t="e">
        <f t="shared" si="28"/>
        <v>#REF!</v>
      </c>
      <c r="N84" s="86" t="e">
        <f t="shared" si="28"/>
        <v>#REF!</v>
      </c>
      <c r="O84" s="86" t="e">
        <f t="shared" si="28"/>
        <v>#REF!</v>
      </c>
      <c r="P84" s="86" t="e">
        <f t="shared" si="28"/>
        <v>#REF!</v>
      </c>
      <c r="Q84" s="86" t="e">
        <f t="shared" si="28"/>
        <v>#REF!</v>
      </c>
      <c r="R84" s="86" t="e">
        <f t="shared" si="28"/>
        <v>#REF!</v>
      </c>
      <c r="S84" s="86" t="e">
        <f t="shared" si="28"/>
        <v>#REF!</v>
      </c>
      <c r="T84" s="86" t="e">
        <f t="shared" si="28"/>
        <v>#REF!</v>
      </c>
      <c r="U84" s="86" t="e">
        <f t="shared" si="28"/>
        <v>#REF!</v>
      </c>
      <c r="V84" s="86" t="e">
        <f t="shared" si="28"/>
        <v>#REF!</v>
      </c>
      <c r="W84" s="86" t="e">
        <f t="shared" si="28"/>
        <v>#REF!</v>
      </c>
      <c r="X84" s="86" t="e">
        <f t="shared" si="28"/>
        <v>#REF!</v>
      </c>
      <c r="Y84" s="86" t="e">
        <f t="shared" si="28"/>
        <v>#REF!</v>
      </c>
      <c r="Z84" s="86" t="e">
        <f t="shared" si="28"/>
        <v>#REF!</v>
      </c>
      <c r="AA84" s="87" t="e">
        <f t="shared" si="28"/>
        <v>#REF!</v>
      </c>
    </row>
    <row r="85" spans="1:27" ht="19.8" x14ac:dyDescent="0.2">
      <c r="A85" s="649" t="s">
        <v>21</v>
      </c>
      <c r="B85" s="672"/>
      <c r="C85" s="672"/>
      <c r="D85" s="672"/>
      <c r="E85" s="672"/>
      <c r="F85" s="672"/>
      <c r="G85" s="672"/>
      <c r="J85" s="81">
        <v>50</v>
      </c>
      <c r="K85" s="150">
        <v>-20</v>
      </c>
      <c r="L85" s="151" t="e">
        <f t="shared" ref="L85:AA85" si="29">IF(L35&gt;=20,ROUNDUP($F$22*L35/20,0),$F$22)</f>
        <v>#REF!</v>
      </c>
      <c r="M85" s="152" t="e">
        <f t="shared" si="29"/>
        <v>#REF!</v>
      </c>
      <c r="N85" s="152" t="e">
        <f t="shared" si="29"/>
        <v>#REF!</v>
      </c>
      <c r="O85" s="152" t="e">
        <f t="shared" si="29"/>
        <v>#REF!</v>
      </c>
      <c r="P85" s="152" t="e">
        <f t="shared" si="29"/>
        <v>#REF!</v>
      </c>
      <c r="Q85" s="152" t="e">
        <f t="shared" si="29"/>
        <v>#REF!</v>
      </c>
      <c r="R85" s="152" t="e">
        <f t="shared" si="29"/>
        <v>#REF!</v>
      </c>
      <c r="S85" s="152" t="e">
        <f t="shared" si="29"/>
        <v>#REF!</v>
      </c>
      <c r="T85" s="152" t="e">
        <f t="shared" si="29"/>
        <v>#REF!</v>
      </c>
      <c r="U85" s="152" t="e">
        <f t="shared" si="29"/>
        <v>#REF!</v>
      </c>
      <c r="V85" s="152" t="e">
        <f t="shared" si="29"/>
        <v>#REF!</v>
      </c>
      <c r="W85" s="152" t="e">
        <f t="shared" si="29"/>
        <v>#REF!</v>
      </c>
      <c r="X85" s="152" t="e">
        <f t="shared" si="29"/>
        <v>#REF!</v>
      </c>
      <c r="Y85" s="152" t="e">
        <f t="shared" si="29"/>
        <v>#REF!</v>
      </c>
      <c r="Z85" s="152" t="e">
        <f t="shared" si="29"/>
        <v>#REF!</v>
      </c>
      <c r="AA85" s="153" t="e">
        <f t="shared" si="29"/>
        <v>#REF!</v>
      </c>
    </row>
    <row r="86" spans="1:27" ht="19.8" x14ac:dyDescent="0.2">
      <c r="A86" s="682" t="s">
        <v>87</v>
      </c>
      <c r="B86" s="683"/>
      <c r="C86" s="683"/>
      <c r="D86" s="683"/>
      <c r="E86" s="683"/>
      <c r="F86" s="683"/>
      <c r="G86" s="683"/>
      <c r="J86" s="77">
        <v>50</v>
      </c>
      <c r="K86" s="145">
        <v>-25</v>
      </c>
      <c r="L86" s="148" t="e">
        <f t="shared" ref="L86:AA86" si="30">IF(L36&gt;=20,ROUNDUP($F$22*L36/20,0),$F$22)</f>
        <v>#REF!</v>
      </c>
      <c r="M86" s="82" t="e">
        <f t="shared" si="30"/>
        <v>#REF!</v>
      </c>
      <c r="N86" s="82" t="e">
        <f t="shared" si="30"/>
        <v>#REF!</v>
      </c>
      <c r="O86" s="82" t="e">
        <f t="shared" si="30"/>
        <v>#REF!</v>
      </c>
      <c r="P86" s="82" t="e">
        <f t="shared" si="30"/>
        <v>#REF!</v>
      </c>
      <c r="Q86" s="82" t="e">
        <f t="shared" si="30"/>
        <v>#REF!</v>
      </c>
      <c r="R86" s="82" t="e">
        <f t="shared" si="30"/>
        <v>#REF!</v>
      </c>
      <c r="S86" s="82" t="e">
        <f t="shared" si="30"/>
        <v>#REF!</v>
      </c>
      <c r="T86" s="82" t="e">
        <f t="shared" si="30"/>
        <v>#REF!</v>
      </c>
      <c r="U86" s="82" t="e">
        <f t="shared" si="30"/>
        <v>#REF!</v>
      </c>
      <c r="V86" s="82" t="e">
        <f t="shared" si="30"/>
        <v>#REF!</v>
      </c>
      <c r="W86" s="82" t="e">
        <f t="shared" si="30"/>
        <v>#REF!</v>
      </c>
      <c r="X86" s="82" t="e">
        <f t="shared" si="30"/>
        <v>#REF!</v>
      </c>
      <c r="Y86" s="82" t="e">
        <f t="shared" si="30"/>
        <v>#REF!</v>
      </c>
      <c r="Z86" s="82" t="e">
        <f t="shared" si="30"/>
        <v>#REF!</v>
      </c>
      <c r="AA86" s="85" t="e">
        <f t="shared" si="30"/>
        <v>#REF!</v>
      </c>
    </row>
    <row r="87" spans="1:27" ht="20.399999999999999" thickBot="1" x14ac:dyDescent="0.35">
      <c r="A87" s="682" t="s">
        <v>22</v>
      </c>
      <c r="B87" s="650"/>
      <c r="C87" s="650"/>
      <c r="D87" s="650"/>
      <c r="E87" s="650"/>
      <c r="F87" s="650"/>
      <c r="G87" s="650"/>
      <c r="J87" s="78">
        <v>50</v>
      </c>
      <c r="K87" s="146">
        <v>-35</v>
      </c>
      <c r="L87" s="149" t="e">
        <f t="shared" ref="L87:AA87" si="31">IF(L37&gt;=20,ROUNDUP($F$22*L37/20,0),$F$22)</f>
        <v>#REF!</v>
      </c>
      <c r="M87" s="86" t="e">
        <f t="shared" si="31"/>
        <v>#REF!</v>
      </c>
      <c r="N87" s="86" t="e">
        <f t="shared" si="31"/>
        <v>#REF!</v>
      </c>
      <c r="O87" s="86" t="e">
        <f t="shared" si="31"/>
        <v>#REF!</v>
      </c>
      <c r="P87" s="86" t="e">
        <f t="shared" si="31"/>
        <v>#REF!</v>
      </c>
      <c r="Q87" s="86" t="e">
        <f t="shared" si="31"/>
        <v>#REF!</v>
      </c>
      <c r="R87" s="86" t="e">
        <f t="shared" si="31"/>
        <v>#REF!</v>
      </c>
      <c r="S87" s="86" t="e">
        <f t="shared" si="31"/>
        <v>#REF!</v>
      </c>
      <c r="T87" s="86" t="e">
        <f t="shared" si="31"/>
        <v>#REF!</v>
      </c>
      <c r="U87" s="86" t="e">
        <f t="shared" si="31"/>
        <v>#REF!</v>
      </c>
      <c r="V87" s="86" t="e">
        <f t="shared" si="31"/>
        <v>#REF!</v>
      </c>
      <c r="W87" s="86" t="e">
        <f t="shared" si="31"/>
        <v>#REF!</v>
      </c>
      <c r="X87" s="86" t="e">
        <f t="shared" si="31"/>
        <v>#REF!</v>
      </c>
      <c r="Y87" s="86" t="e">
        <f t="shared" si="31"/>
        <v>#REF!</v>
      </c>
      <c r="Z87" s="86" t="e">
        <f t="shared" si="31"/>
        <v>#REF!</v>
      </c>
      <c r="AA87" s="87" t="e">
        <f t="shared" si="31"/>
        <v>#REF!</v>
      </c>
    </row>
    <row r="88" spans="1:27" ht="14.4" x14ac:dyDescent="0.2">
      <c r="A88" s="682" t="s">
        <v>23</v>
      </c>
      <c r="B88" s="683"/>
      <c r="C88" s="683"/>
      <c r="D88" s="683"/>
      <c r="E88" s="683"/>
      <c r="F88" s="683"/>
      <c r="G88" s="683"/>
    </row>
    <row r="89" spans="1:27" ht="14.4" x14ac:dyDescent="0.3">
      <c r="A89" s="682"/>
      <c r="B89" s="650"/>
      <c r="C89" s="650"/>
      <c r="D89" s="650"/>
      <c r="E89" s="650"/>
      <c r="F89" s="650"/>
      <c r="G89" s="650"/>
    </row>
    <row r="90" spans="1:27" ht="14.4" x14ac:dyDescent="0.3">
      <c r="A90" s="21"/>
      <c r="B90"/>
      <c r="C90"/>
      <c r="D90"/>
      <c r="E90"/>
      <c r="F90"/>
      <c r="G90"/>
    </row>
    <row r="91" spans="1:27" ht="14.4" x14ac:dyDescent="0.3">
      <c r="B91" s="1" t="s">
        <v>11</v>
      </c>
      <c r="C91" s="2"/>
      <c r="D91"/>
      <c r="E91"/>
      <c r="F91"/>
      <c r="G91"/>
    </row>
    <row r="92" spans="1:27" ht="14.4" x14ac:dyDescent="0.3">
      <c r="B92" s="671" t="s">
        <v>57</v>
      </c>
      <c r="C92" s="672"/>
      <c r="D92"/>
      <c r="E92"/>
      <c r="F92"/>
      <c r="G92"/>
    </row>
    <row r="93" spans="1:27" ht="14.4" x14ac:dyDescent="0.3">
      <c r="B93" s="671" t="s">
        <v>59</v>
      </c>
      <c r="C93" s="672"/>
      <c r="D93"/>
      <c r="E93"/>
      <c r="F93"/>
      <c r="G93"/>
    </row>
    <row r="94" spans="1:27" ht="14.4" x14ac:dyDescent="0.3">
      <c r="B94" s="25" t="s">
        <v>58</v>
      </c>
      <c r="D94"/>
      <c r="E94"/>
      <c r="F94"/>
      <c r="G94"/>
    </row>
    <row r="95" spans="1:27" ht="14.4" x14ac:dyDescent="0.3">
      <c r="B95" s="25" t="s">
        <v>12</v>
      </c>
      <c r="D95"/>
      <c r="E95"/>
      <c r="F95"/>
      <c r="G95"/>
    </row>
  </sheetData>
  <autoFilter ref="H27:H79" xr:uid="{00000000-0009-0000-0000-000000000000}"/>
  <mergeCells count="52">
    <mergeCell ref="F18:G18"/>
    <mergeCell ref="L44:AA44"/>
    <mergeCell ref="K39:AA39"/>
    <mergeCell ref="A37:F37"/>
    <mergeCell ref="K73:AA73"/>
    <mergeCell ref="K24:AA24"/>
    <mergeCell ref="B92:C92"/>
    <mergeCell ref="B93:C93"/>
    <mergeCell ref="A28:F28"/>
    <mergeCell ref="A71:F71"/>
    <mergeCell ref="A77:F77"/>
    <mergeCell ref="B78:F78"/>
    <mergeCell ref="A81:G81"/>
    <mergeCell ref="A82:G82"/>
    <mergeCell ref="A85:G85"/>
    <mergeCell ref="A86:G86"/>
    <mergeCell ref="A83:C83"/>
    <mergeCell ref="A87:G87"/>
    <mergeCell ref="A88:G88"/>
    <mergeCell ref="A89:G89"/>
    <mergeCell ref="A48:F48"/>
    <mergeCell ref="A60:F60"/>
    <mergeCell ref="A7:C7"/>
    <mergeCell ref="C1:G1"/>
    <mergeCell ref="A2:C2"/>
    <mergeCell ref="A4:C4"/>
    <mergeCell ref="A5:C5"/>
    <mergeCell ref="A6:C6"/>
    <mergeCell ref="A8:C8"/>
    <mergeCell ref="A9:F9"/>
    <mergeCell ref="A10:F10"/>
    <mergeCell ref="D11:D12"/>
    <mergeCell ref="E26:E27"/>
    <mergeCell ref="F11:G11"/>
    <mergeCell ref="F12:G12"/>
    <mergeCell ref="F14:G14"/>
    <mergeCell ref="F15:G15"/>
    <mergeCell ref="A25:G25"/>
    <mergeCell ref="B26:B27"/>
    <mergeCell ref="C26:C27"/>
    <mergeCell ref="D26:D27"/>
    <mergeCell ref="F16:G16"/>
    <mergeCell ref="D14:D18"/>
    <mergeCell ref="F17:G17"/>
    <mergeCell ref="A79:F79"/>
    <mergeCell ref="L28:AA28"/>
    <mergeCell ref="K40:AA40"/>
    <mergeCell ref="K56:AA56"/>
    <mergeCell ref="K57:AA57"/>
    <mergeCell ref="L61:AA61"/>
    <mergeCell ref="L78:AA78"/>
    <mergeCell ref="K74:AA74"/>
  </mergeCells>
  <conditionalFormatting sqref="D11:D12 E12:F12">
    <cfRule type="expression" dxfId="9" priority="13">
      <formula>$E$12="X"</formula>
    </cfRule>
    <cfRule type="expression" priority="14">
      <formula>$D$12="X"</formula>
    </cfRule>
  </conditionalFormatting>
  <conditionalFormatting sqref="D14 E15:F15">
    <cfRule type="expression" dxfId="8" priority="8">
      <formula>$E$15="X"</formula>
    </cfRule>
  </conditionalFormatting>
  <conditionalFormatting sqref="D14 E16:F18">
    <cfRule type="expression" dxfId="7" priority="7">
      <formula>$E$16="X"</formula>
    </cfRule>
  </conditionalFormatting>
  <conditionalFormatting sqref="D21:D22">
    <cfRule type="expression" dxfId="6" priority="3">
      <formula>$D$22&lt;&gt;""</formula>
    </cfRule>
  </conditionalFormatting>
  <conditionalFormatting sqref="D14:F14">
    <cfRule type="expression" dxfId="5" priority="9">
      <formula>$E$14="X"</formula>
    </cfRule>
  </conditionalFormatting>
  <conditionalFormatting sqref="E21:E22">
    <cfRule type="expression" dxfId="4" priority="2">
      <formula>$E$22&lt;&gt;""</formula>
    </cfRule>
  </conditionalFormatting>
  <conditionalFormatting sqref="E11:F11 D11:D12">
    <cfRule type="expression" dxfId="3" priority="15">
      <formula>$E$11="X"</formula>
    </cfRule>
  </conditionalFormatting>
  <conditionalFormatting sqref="F21:F22">
    <cfRule type="expression" dxfId="2" priority="12">
      <formula>$F$22&lt;&gt;""</formula>
    </cfRule>
  </conditionalFormatting>
  <conditionalFormatting sqref="G21:G22">
    <cfRule type="expression" dxfId="1" priority="11">
      <formula>$G$22&lt;&gt;""</formula>
    </cfRule>
  </conditionalFormatting>
  <conditionalFormatting sqref="L29:AA37">
    <cfRule type="cellIs" dxfId="0" priority="1" operator="equal">
      <formula>HLOOKUP($G$22,$L$26:$AA$37,MATCH($D$22,$J$26:$J$37,0)+MATCH($E$22,$K$29:$K$31,0)-1,0)</formula>
    </cfRule>
  </conditionalFormatting>
  <dataValidations count="3">
    <dataValidation type="list" allowBlank="1" showInputMessage="1" showErrorMessage="1" sqref="G22" xr:uid="{F399A148-71D3-4C6D-ABAA-3A7A5001CB01}">
      <formula1>$L$26:$AA$26</formula1>
    </dataValidation>
    <dataValidation type="list" allowBlank="1" showInputMessage="1" showErrorMessage="1" sqref="D22" xr:uid="{40CCC5C7-01B2-4250-9F8D-00BEDE4FBC85}">
      <formula1>"20,30,50"</formula1>
    </dataValidation>
    <dataValidation type="list" allowBlank="1" showInputMessage="1" showErrorMessage="1" sqref="E22" xr:uid="{856AC6F3-67E2-4FB8-A6BE-735CD68B8F09}">
      <formula1>"-20, -25, -35"</formula1>
    </dataValidation>
  </dataValidations>
  <hyperlinks>
    <hyperlink ref="B95" r:id="rId1" xr:uid="{8B996008-16F6-436C-987E-21564E0784B8}"/>
    <hyperlink ref="B94" r:id="rId2" display="mailto:mihail.macovei@magnumheating.ro" xr:uid="{ACE574B3-BADF-427D-9A89-2D58B6BE6136}"/>
  </hyperlinks>
  <pageMargins left="0.70866141732283505" right="0.23622047244094499" top="1.14173228346457" bottom="1.0629921259842501" header="0.196850393700787" footer="0.15748031496063"/>
  <pageSetup paperSize="9" scale="83" orientation="portrait" r:id="rId3"/>
  <headerFooter scaleWithDoc="0" alignWithMargins="0">
    <oddHeader>&amp;L&amp;G&amp;R&amp;G</oddHeader>
    <oddFooter xml:space="preserve">&amp;LRO33404978
J40/8589/2014
 RO50BREL0002003055820100
LIBRA BANK&amp;CStr. Învingătorilor nr. 27, Sector 3, București
Tel :  (+4) 0314.361.836
Mobil:  (+4) 0724.204.888
             (+4) 0766.367.287&amp;REmail: 
comercial@magnumheating.ro
</oddFooter>
  </headerFooter>
  <colBreaks count="1" manualBreakCount="1">
    <brk id="7" max="1048575" man="1"/>
  </colBreaks>
  <ignoredErrors>
    <ignoredError sqref="D83" evalError="1"/>
  </ignoredError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B744-4286-4631-B823-44EADD9A0F51}">
  <sheetPr>
    <tabColor rgb="FFFF3B3B"/>
  </sheetPr>
  <dimension ref="A1:T443"/>
  <sheetViews>
    <sheetView tabSelected="1" zoomScaleNormal="100" zoomScaleSheetLayoutView="100" workbookViewId="0">
      <selection activeCell="A2" sqref="A2:C2"/>
    </sheetView>
  </sheetViews>
  <sheetFormatPr defaultColWidth="9.109375" defaultRowHeight="11.4" x14ac:dyDescent="0.2"/>
  <cols>
    <col min="1" max="1" width="5.6640625" style="5" customWidth="1"/>
    <col min="2" max="2" width="13.21875" style="5" customWidth="1"/>
    <col min="3" max="3" width="62.21875" style="5" customWidth="1"/>
    <col min="4" max="4" width="5.6640625" style="5" customWidth="1"/>
    <col min="5" max="5" width="5.5546875" style="5" customWidth="1"/>
    <col min="6" max="6" width="9.77734375" style="5" customWidth="1"/>
    <col min="7" max="7" width="9.5546875" style="5" customWidth="1"/>
    <col min="8" max="8" width="7.5546875" style="5" customWidth="1"/>
    <col min="9" max="9" width="6.88671875" style="5" customWidth="1"/>
    <col min="10" max="10" width="9.109375" style="5"/>
    <col min="11" max="11" width="9.5546875" style="5" customWidth="1"/>
    <col min="12" max="12" width="12" style="5" customWidth="1"/>
    <col min="13" max="13" width="11" style="5" customWidth="1"/>
    <col min="14" max="14" width="14.88671875" style="5" bestFit="1" customWidth="1"/>
    <col min="15" max="15" width="8" style="5" customWidth="1"/>
    <col min="16" max="16" width="9.109375" style="5"/>
    <col min="17" max="17" width="12.33203125" style="5" customWidth="1"/>
    <col min="18" max="18" width="11" style="5" customWidth="1"/>
    <col min="19" max="19" width="9.109375" style="5"/>
    <col min="20" max="21" width="9.6640625" style="5" customWidth="1"/>
    <col min="22" max="16384" width="9.109375" style="5"/>
  </cols>
  <sheetData>
    <row r="1" spans="1:17" ht="129" customHeight="1" x14ac:dyDescent="0.2">
      <c r="C1" s="670" t="s">
        <v>452</v>
      </c>
      <c r="D1" s="670"/>
      <c r="E1" s="670"/>
      <c r="F1" s="670"/>
      <c r="G1" s="670"/>
      <c r="H1" s="7"/>
      <c r="I1" s="7"/>
    </row>
    <row r="2" spans="1:17" ht="14.4" x14ac:dyDescent="0.3">
      <c r="A2" s="649" t="s">
        <v>615</v>
      </c>
      <c r="B2" s="650"/>
      <c r="C2" s="650"/>
    </row>
    <row r="3" spans="1:17" x14ac:dyDescent="0.2">
      <c r="A3" s="2"/>
    </row>
    <row r="4" spans="1:17" ht="14.4" x14ac:dyDescent="0.3">
      <c r="A4" s="649" t="s">
        <v>165</v>
      </c>
      <c r="B4" s="650"/>
      <c r="C4" s="650"/>
    </row>
    <row r="5" spans="1:17" ht="14.4" x14ac:dyDescent="0.3">
      <c r="A5" s="649" t="s">
        <v>15</v>
      </c>
      <c r="B5" s="650"/>
      <c r="C5" s="650"/>
    </row>
    <row r="6" spans="1:17" ht="14.4" x14ac:dyDescent="0.3">
      <c r="A6" s="649" t="s">
        <v>16</v>
      </c>
      <c r="B6" s="650"/>
      <c r="C6" s="650"/>
    </row>
    <row r="7" spans="1:17" ht="14.4" x14ac:dyDescent="0.3">
      <c r="A7" s="698" t="s">
        <v>13</v>
      </c>
      <c r="B7" s="699"/>
      <c r="C7" s="699"/>
    </row>
    <row r="8" spans="1:17" ht="14.4" x14ac:dyDescent="0.3">
      <c r="A8" s="649" t="s">
        <v>166</v>
      </c>
      <c r="B8" s="650"/>
      <c r="C8" s="650"/>
    </row>
    <row r="9" spans="1:17" ht="9.75" customHeight="1" x14ac:dyDescent="0.3">
      <c r="A9" s="649"/>
      <c r="B9" s="650"/>
      <c r="C9" s="650"/>
    </row>
    <row r="10" spans="1:17" ht="14.25" customHeight="1" x14ac:dyDescent="0.2">
      <c r="A10" s="651" t="s">
        <v>0</v>
      </c>
      <c r="B10" s="651"/>
      <c r="C10" s="651"/>
      <c r="D10" s="651"/>
      <c r="E10" s="651"/>
      <c r="F10" s="651"/>
      <c r="G10" s="12"/>
      <c r="H10" s="3"/>
      <c r="I10" s="3"/>
      <c r="J10" s="4"/>
      <c r="K10" s="4"/>
      <c r="L10" s="4"/>
      <c r="M10" s="4"/>
      <c r="N10" s="4"/>
    </row>
    <row r="11" spans="1:17" ht="27.75" customHeight="1" x14ac:dyDescent="0.2">
      <c r="A11" s="651" t="s">
        <v>240</v>
      </c>
      <c r="B11" s="651"/>
      <c r="C11" s="651"/>
      <c r="D11" s="651"/>
      <c r="E11" s="651"/>
      <c r="F11" s="651"/>
      <c r="G11" s="8"/>
      <c r="H11" s="3"/>
      <c r="I11" s="3"/>
      <c r="J11" s="4"/>
      <c r="K11" s="4"/>
      <c r="L11" s="12"/>
      <c r="M11" s="4"/>
      <c r="N11" s="4"/>
    </row>
    <row r="12" spans="1:17" ht="69.4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4"/>
      <c r="K12" s="4"/>
      <c r="L12" s="4"/>
      <c r="M12" s="4"/>
      <c r="N12" s="4"/>
    </row>
    <row r="13" spans="1:17" ht="13.5" customHeight="1" x14ac:dyDescent="0.2">
      <c r="A13" s="3"/>
      <c r="B13" s="3"/>
      <c r="C13" s="3"/>
      <c r="D13" s="3"/>
      <c r="E13" s="3"/>
      <c r="F13" s="3"/>
      <c r="G13" s="3"/>
      <c r="H13" s="12"/>
      <c r="I13" s="12" t="s">
        <v>167</v>
      </c>
      <c r="J13" s="12" t="s">
        <v>168</v>
      </c>
      <c r="K13" s="12" t="s">
        <v>421</v>
      </c>
      <c r="L13" s="393" t="s">
        <v>416</v>
      </c>
      <c r="M13" s="197" t="s">
        <v>418</v>
      </c>
      <c r="N13" s="392" t="s">
        <v>417</v>
      </c>
      <c r="O13" s="1" t="s">
        <v>420</v>
      </c>
      <c r="P13" s="2"/>
      <c r="Q13" s="2" t="s">
        <v>419</v>
      </c>
    </row>
    <row r="14" spans="1:17" ht="25.95" customHeight="1" x14ac:dyDescent="0.4">
      <c r="A14" s="700" t="s">
        <v>453</v>
      </c>
      <c r="B14" s="701"/>
      <c r="C14" s="701"/>
      <c r="D14" s="701"/>
      <c r="E14" s="701"/>
      <c r="F14" s="701"/>
      <c r="G14" s="701"/>
      <c r="H14" s="3"/>
      <c r="I14" s="3"/>
      <c r="J14" s="4"/>
      <c r="K14" s="4"/>
      <c r="L14" s="4"/>
      <c r="M14" s="4"/>
      <c r="N14" s="4"/>
    </row>
    <row r="15" spans="1:17" ht="21.75" customHeight="1" thickBot="1" x14ac:dyDescent="0.45">
      <c r="A15" s="664"/>
      <c r="B15" s="665"/>
      <c r="C15" s="665"/>
      <c r="D15" s="665"/>
      <c r="E15" s="665"/>
      <c r="F15" s="665"/>
      <c r="G15" s="665"/>
      <c r="H15" s="4"/>
      <c r="I15" s="4"/>
      <c r="J15" s="4"/>
      <c r="K15" s="4"/>
      <c r="L15" s="4"/>
      <c r="M15" s="4"/>
      <c r="N15" s="4"/>
    </row>
    <row r="16" spans="1:17" ht="25.95" customHeight="1" thickTop="1" thickBot="1" x14ac:dyDescent="0.25">
      <c r="A16" s="11" t="s">
        <v>1</v>
      </c>
      <c r="B16" s="654" t="s">
        <v>3</v>
      </c>
      <c r="C16" s="654" t="s">
        <v>4</v>
      </c>
      <c r="D16" s="654" t="s">
        <v>5</v>
      </c>
      <c r="E16" s="654" t="s">
        <v>6</v>
      </c>
      <c r="F16" s="11" t="s">
        <v>7</v>
      </c>
      <c r="G16" s="11" t="s">
        <v>9</v>
      </c>
      <c r="H16" s="4"/>
      <c r="I16" s="4"/>
      <c r="J16" s="4"/>
      <c r="K16" s="4"/>
      <c r="L16" s="4"/>
      <c r="M16" s="4"/>
      <c r="N16" s="4"/>
    </row>
    <row r="17" spans="1:14" ht="25.95" customHeight="1" thickTop="1" thickBot="1" x14ac:dyDescent="0.25">
      <c r="A17" s="11" t="s">
        <v>2</v>
      </c>
      <c r="B17" s="654"/>
      <c r="C17" s="654"/>
      <c r="D17" s="654"/>
      <c r="E17" s="654"/>
      <c r="F17" s="11" t="s">
        <v>8</v>
      </c>
      <c r="G17" s="11" t="s">
        <v>8</v>
      </c>
      <c r="H17" s="4"/>
      <c r="I17" s="4"/>
      <c r="J17" s="4"/>
      <c r="K17" s="4"/>
      <c r="L17" s="4"/>
      <c r="M17" s="4"/>
      <c r="N17" s="4"/>
    </row>
    <row r="18" spans="1:14" ht="16.05" customHeight="1" thickTop="1" thickBot="1" x14ac:dyDescent="0.25">
      <c r="A18" s="246" t="s">
        <v>169</v>
      </c>
      <c r="B18" s="200"/>
      <c r="C18" s="200"/>
      <c r="D18" s="200"/>
      <c r="E18" s="200"/>
      <c r="F18" s="200"/>
      <c r="G18" s="247"/>
      <c r="H18" s="18">
        <f>SUM(H19:H28)</f>
        <v>0</v>
      </c>
      <c r="I18" s="4"/>
      <c r="J18" s="4"/>
      <c r="K18" s="4"/>
      <c r="L18" s="4"/>
      <c r="M18" s="4"/>
      <c r="N18" s="4"/>
    </row>
    <row r="19" spans="1:14" ht="16.05" customHeight="1" thickTop="1" thickBot="1" x14ac:dyDescent="0.25">
      <c r="A19" s="276"/>
      <c r="B19" s="277">
        <v>140301</v>
      </c>
      <c r="C19" s="278" t="s">
        <v>147</v>
      </c>
      <c r="D19" s="279" t="s">
        <v>10</v>
      </c>
      <c r="E19" s="590"/>
      <c r="F19" s="394">
        <v>29</v>
      </c>
      <c r="G19" s="280">
        <f t="shared" ref="G19:G28" si="0">E19*F19</f>
        <v>0</v>
      </c>
      <c r="H19" s="18">
        <f t="shared" ref="H19:H28" si="1">E19</f>
        <v>0</v>
      </c>
      <c r="I19" s="4"/>
      <c r="J19" s="4"/>
      <c r="K19" s="4"/>
      <c r="L19" s="4"/>
      <c r="M19" s="4"/>
      <c r="N19" s="4"/>
    </row>
    <row r="20" spans="1:14" ht="16.05" customHeight="1" thickBot="1" x14ac:dyDescent="0.25">
      <c r="A20" s="281"/>
      <c r="B20" s="257">
        <v>140501</v>
      </c>
      <c r="C20" s="258" t="s">
        <v>148</v>
      </c>
      <c r="D20" s="259" t="s">
        <v>10</v>
      </c>
      <c r="E20" s="596"/>
      <c r="F20" s="358">
        <v>42</v>
      </c>
      <c r="G20" s="282">
        <f t="shared" si="0"/>
        <v>0</v>
      </c>
      <c r="H20" s="18">
        <f t="shared" si="1"/>
        <v>0</v>
      </c>
      <c r="I20" s="4"/>
      <c r="J20" s="4"/>
      <c r="K20" s="4"/>
      <c r="L20" s="4"/>
      <c r="M20" s="4"/>
      <c r="N20" s="4"/>
    </row>
    <row r="21" spans="1:14" ht="16.05" customHeight="1" thickBot="1" x14ac:dyDescent="0.25">
      <c r="A21" s="281"/>
      <c r="B21" s="257">
        <v>141001</v>
      </c>
      <c r="C21" s="258" t="s">
        <v>149</v>
      </c>
      <c r="D21" s="259" t="s">
        <v>10</v>
      </c>
      <c r="E21" s="596"/>
      <c r="F21" s="358">
        <v>85</v>
      </c>
      <c r="G21" s="282">
        <f t="shared" si="0"/>
        <v>0</v>
      </c>
      <c r="H21" s="18">
        <f t="shared" si="1"/>
        <v>0</v>
      </c>
      <c r="I21" s="4"/>
      <c r="J21" s="4"/>
      <c r="K21" s="4"/>
      <c r="L21" s="4"/>
      <c r="M21" s="4"/>
      <c r="N21" s="4"/>
    </row>
    <row r="22" spans="1:14" ht="16.05" customHeight="1" thickBot="1" x14ac:dyDescent="0.25">
      <c r="A22" s="281"/>
      <c r="B22" s="257">
        <v>141201</v>
      </c>
      <c r="C22" s="258" t="s">
        <v>151</v>
      </c>
      <c r="D22" s="259" t="s">
        <v>10</v>
      </c>
      <c r="E22" s="596"/>
      <c r="F22" s="358">
        <v>104</v>
      </c>
      <c r="G22" s="282">
        <f t="shared" si="0"/>
        <v>0</v>
      </c>
      <c r="H22" s="18">
        <f t="shared" si="1"/>
        <v>0</v>
      </c>
      <c r="I22" s="4"/>
      <c r="J22" s="4"/>
      <c r="K22" s="4" t="s">
        <v>14</v>
      </c>
      <c r="L22" s="4"/>
      <c r="M22" s="4"/>
      <c r="N22" s="4"/>
    </row>
    <row r="23" spans="1:14" ht="16.05" customHeight="1" thickBot="1" x14ac:dyDescent="0.25">
      <c r="A23" s="281"/>
      <c r="B23" s="257">
        <v>141601</v>
      </c>
      <c r="C23" s="258" t="s">
        <v>150</v>
      </c>
      <c r="D23" s="259" t="s">
        <v>10</v>
      </c>
      <c r="E23" s="596"/>
      <c r="F23" s="358">
        <v>145</v>
      </c>
      <c r="G23" s="282">
        <f t="shared" si="0"/>
        <v>0</v>
      </c>
      <c r="H23" s="18">
        <f t="shared" si="1"/>
        <v>0</v>
      </c>
      <c r="I23" s="4"/>
    </row>
    <row r="24" spans="1:14" ht="16.05" customHeight="1" thickBot="1" x14ac:dyDescent="0.25">
      <c r="A24" s="281"/>
      <c r="B24" s="257">
        <v>141801</v>
      </c>
      <c r="C24" s="258" t="s">
        <v>156</v>
      </c>
      <c r="D24" s="259" t="s">
        <v>10</v>
      </c>
      <c r="E24" s="596"/>
      <c r="F24" s="358">
        <v>163</v>
      </c>
      <c r="G24" s="282">
        <f t="shared" si="0"/>
        <v>0</v>
      </c>
      <c r="H24" s="18">
        <f t="shared" si="1"/>
        <v>0</v>
      </c>
      <c r="I24" s="4"/>
    </row>
    <row r="25" spans="1:14" ht="16.05" customHeight="1" thickBot="1" x14ac:dyDescent="0.25">
      <c r="A25" s="281"/>
      <c r="B25" s="257">
        <v>142001</v>
      </c>
      <c r="C25" s="258" t="s">
        <v>155</v>
      </c>
      <c r="D25" s="259" t="s">
        <v>10</v>
      </c>
      <c r="E25" s="596"/>
      <c r="F25" s="358">
        <v>182</v>
      </c>
      <c r="G25" s="282">
        <f t="shared" si="0"/>
        <v>0</v>
      </c>
      <c r="H25" s="18">
        <f t="shared" si="1"/>
        <v>0</v>
      </c>
      <c r="I25" s="4"/>
    </row>
    <row r="26" spans="1:14" ht="16.05" customHeight="1" thickBot="1" x14ac:dyDescent="0.25">
      <c r="A26" s="281"/>
      <c r="B26" s="257">
        <v>142401</v>
      </c>
      <c r="C26" s="258" t="s">
        <v>154</v>
      </c>
      <c r="D26" s="259" t="s">
        <v>10</v>
      </c>
      <c r="E26" s="596"/>
      <c r="F26" s="358">
        <v>222</v>
      </c>
      <c r="G26" s="282">
        <f t="shared" si="0"/>
        <v>0</v>
      </c>
      <c r="H26" s="18">
        <f t="shared" si="1"/>
        <v>0</v>
      </c>
      <c r="I26" s="4"/>
    </row>
    <row r="27" spans="1:14" ht="16.05" customHeight="1" thickBot="1" x14ac:dyDescent="0.25">
      <c r="A27" s="281"/>
      <c r="B27" s="257">
        <v>142801</v>
      </c>
      <c r="C27" s="258" t="s">
        <v>153</v>
      </c>
      <c r="D27" s="259" t="s">
        <v>10</v>
      </c>
      <c r="E27" s="596"/>
      <c r="F27" s="358">
        <v>265</v>
      </c>
      <c r="G27" s="282">
        <f t="shared" si="0"/>
        <v>0</v>
      </c>
      <c r="H27" s="18">
        <f t="shared" si="1"/>
        <v>0</v>
      </c>
      <c r="I27" s="4"/>
    </row>
    <row r="28" spans="1:14" ht="16.05" customHeight="1" thickBot="1" x14ac:dyDescent="0.25">
      <c r="A28" s="283"/>
      <c r="B28" s="284">
        <v>143201</v>
      </c>
      <c r="C28" s="285" t="s">
        <v>152</v>
      </c>
      <c r="D28" s="286" t="s">
        <v>10</v>
      </c>
      <c r="E28" s="597"/>
      <c r="F28" s="384">
        <v>313</v>
      </c>
      <c r="G28" s="287">
        <f t="shared" si="0"/>
        <v>0</v>
      </c>
      <c r="H28" s="18">
        <f t="shared" si="1"/>
        <v>0</v>
      </c>
      <c r="I28" s="4"/>
    </row>
    <row r="29" spans="1:14" ht="16.05" customHeight="1" thickTop="1" thickBot="1" x14ac:dyDescent="0.25">
      <c r="A29" s="248" t="s">
        <v>170</v>
      </c>
      <c r="B29" s="561"/>
      <c r="C29" s="561"/>
      <c r="D29" s="561"/>
      <c r="E29" s="561"/>
      <c r="F29" s="562"/>
      <c r="G29" s="249"/>
      <c r="H29" s="18">
        <f>SUM(H30:H40)</f>
        <v>0</v>
      </c>
      <c r="I29" s="4"/>
      <c r="J29" s="4"/>
      <c r="K29" s="4"/>
      <c r="L29" s="4"/>
      <c r="M29" s="4"/>
      <c r="N29" s="4"/>
    </row>
    <row r="30" spans="1:14" ht="16.05" customHeight="1" thickTop="1" thickBot="1" x14ac:dyDescent="0.25">
      <c r="A30" s="276"/>
      <c r="B30" s="279">
        <v>120300</v>
      </c>
      <c r="C30" s="278" t="s">
        <v>101</v>
      </c>
      <c r="D30" s="279" t="s">
        <v>10</v>
      </c>
      <c r="E30" s="279"/>
      <c r="F30" s="395">
        <v>44</v>
      </c>
      <c r="G30" s="280">
        <f t="shared" ref="G30:G40" si="2">E30*F30</f>
        <v>0</v>
      </c>
      <c r="H30" s="18">
        <f t="shared" ref="H30:H51" si="3">E30</f>
        <v>0</v>
      </c>
      <c r="I30" s="4"/>
    </row>
    <row r="31" spans="1:14" ht="16.05" customHeight="1" thickBot="1" x14ac:dyDescent="0.25">
      <c r="A31" s="281"/>
      <c r="B31" s="259">
        <v>120500</v>
      </c>
      <c r="C31" s="258" t="s">
        <v>102</v>
      </c>
      <c r="D31" s="259" t="s">
        <v>10</v>
      </c>
      <c r="E31" s="259"/>
      <c r="F31" s="396">
        <v>65</v>
      </c>
      <c r="G31" s="282">
        <f t="shared" si="2"/>
        <v>0</v>
      </c>
      <c r="H31" s="18">
        <f t="shared" si="3"/>
        <v>0</v>
      </c>
      <c r="I31" s="4"/>
    </row>
    <row r="32" spans="1:14" ht="16.05" customHeight="1" thickBot="1" x14ac:dyDescent="0.25">
      <c r="A32" s="281"/>
      <c r="B32" s="259">
        <v>120700</v>
      </c>
      <c r="C32" s="258" t="s">
        <v>103</v>
      </c>
      <c r="D32" s="259" t="s">
        <v>10</v>
      </c>
      <c r="E32" s="259"/>
      <c r="F32" s="396">
        <v>79</v>
      </c>
      <c r="G32" s="282">
        <f t="shared" si="2"/>
        <v>0</v>
      </c>
      <c r="H32" s="18">
        <f t="shared" si="3"/>
        <v>0</v>
      </c>
      <c r="I32" s="4"/>
    </row>
    <row r="33" spans="1:19" ht="16.05" customHeight="1" thickBot="1" x14ac:dyDescent="0.25">
      <c r="A33" s="281"/>
      <c r="B33" s="259">
        <v>121000</v>
      </c>
      <c r="C33" s="258" t="s">
        <v>104</v>
      </c>
      <c r="D33" s="259" t="s">
        <v>10</v>
      </c>
      <c r="E33" s="259"/>
      <c r="F33" s="396">
        <v>112</v>
      </c>
      <c r="G33" s="282">
        <f t="shared" si="2"/>
        <v>0</v>
      </c>
      <c r="H33" s="18">
        <f t="shared" si="3"/>
        <v>0</v>
      </c>
      <c r="I33" s="4"/>
    </row>
    <row r="34" spans="1:19" ht="16.05" customHeight="1" thickBot="1" x14ac:dyDescent="0.25">
      <c r="A34" s="281"/>
      <c r="B34" s="259">
        <v>121250</v>
      </c>
      <c r="C34" s="258" t="s">
        <v>105</v>
      </c>
      <c r="D34" s="259" t="s">
        <v>10</v>
      </c>
      <c r="E34" s="259"/>
      <c r="F34" s="396">
        <v>141</v>
      </c>
      <c r="G34" s="282">
        <f t="shared" si="2"/>
        <v>0</v>
      </c>
      <c r="H34" s="18">
        <f t="shared" si="3"/>
        <v>0</v>
      </c>
      <c r="I34" s="4"/>
      <c r="J34" s="198"/>
    </row>
    <row r="35" spans="1:19" ht="16.05" customHeight="1" thickBot="1" x14ac:dyDescent="0.25">
      <c r="A35" s="281"/>
      <c r="B35" s="259">
        <v>121501</v>
      </c>
      <c r="C35" s="258" t="s">
        <v>106</v>
      </c>
      <c r="D35" s="259" t="s">
        <v>10</v>
      </c>
      <c r="E35" s="259"/>
      <c r="F35" s="396">
        <v>176</v>
      </c>
      <c r="G35" s="282">
        <f t="shared" si="2"/>
        <v>0</v>
      </c>
      <c r="H35" s="18">
        <f t="shared" si="3"/>
        <v>0</v>
      </c>
      <c r="I35" s="4"/>
    </row>
    <row r="36" spans="1:19" ht="16.05" customHeight="1" thickBot="1" x14ac:dyDescent="0.25">
      <c r="A36" s="281"/>
      <c r="B36" s="259">
        <v>121700</v>
      </c>
      <c r="C36" s="258" t="s">
        <v>107</v>
      </c>
      <c r="D36" s="259" t="s">
        <v>10</v>
      </c>
      <c r="E36" s="259"/>
      <c r="F36" s="396">
        <v>187</v>
      </c>
      <c r="G36" s="282">
        <f t="shared" si="2"/>
        <v>0</v>
      </c>
      <c r="H36" s="18">
        <f t="shared" si="3"/>
        <v>0</v>
      </c>
      <c r="I36" s="4"/>
    </row>
    <row r="37" spans="1:19" ht="16.05" customHeight="1" thickBot="1" x14ac:dyDescent="0.25">
      <c r="A37" s="281"/>
      <c r="B37" s="259">
        <v>122100</v>
      </c>
      <c r="C37" s="258" t="s">
        <v>108</v>
      </c>
      <c r="D37" s="259" t="s">
        <v>10</v>
      </c>
      <c r="E37" s="259"/>
      <c r="F37" s="396">
        <v>233</v>
      </c>
      <c r="G37" s="282">
        <f t="shared" si="2"/>
        <v>0</v>
      </c>
      <c r="H37" s="18">
        <f t="shared" si="3"/>
        <v>0</v>
      </c>
      <c r="I37" s="4"/>
    </row>
    <row r="38" spans="1:19" ht="16.05" customHeight="1" thickBot="1" x14ac:dyDescent="0.25">
      <c r="A38" s="281"/>
      <c r="B38" s="259">
        <v>122600</v>
      </c>
      <c r="C38" s="258" t="s">
        <v>109</v>
      </c>
      <c r="D38" s="259" t="s">
        <v>10</v>
      </c>
      <c r="E38" s="259"/>
      <c r="F38" s="396">
        <v>280</v>
      </c>
      <c r="G38" s="282">
        <f t="shared" si="2"/>
        <v>0</v>
      </c>
      <c r="H38" s="18">
        <f t="shared" si="3"/>
        <v>0</v>
      </c>
      <c r="I38" s="4"/>
    </row>
    <row r="39" spans="1:19" ht="16.05" customHeight="1" thickBot="1" x14ac:dyDescent="0.25">
      <c r="A39" s="281"/>
      <c r="B39" s="259">
        <v>122900</v>
      </c>
      <c r="C39" s="258" t="s">
        <v>110</v>
      </c>
      <c r="D39" s="259" t="s">
        <v>10</v>
      </c>
      <c r="E39" s="259"/>
      <c r="F39" s="396">
        <v>310</v>
      </c>
      <c r="G39" s="282">
        <f t="shared" si="2"/>
        <v>0</v>
      </c>
      <c r="H39" s="18">
        <f t="shared" si="3"/>
        <v>0</v>
      </c>
      <c r="I39" s="4"/>
    </row>
    <row r="40" spans="1:19" ht="16.05" customHeight="1" thickBot="1" x14ac:dyDescent="0.25">
      <c r="A40" s="283"/>
      <c r="B40" s="286">
        <v>123200</v>
      </c>
      <c r="C40" s="285" t="s">
        <v>111</v>
      </c>
      <c r="D40" s="286" t="s">
        <v>10</v>
      </c>
      <c r="E40" s="286"/>
      <c r="F40" s="397">
        <v>355</v>
      </c>
      <c r="G40" s="287">
        <f t="shared" si="2"/>
        <v>0</v>
      </c>
      <c r="H40" s="18">
        <f t="shared" si="3"/>
        <v>0</v>
      </c>
      <c r="I40" s="4"/>
    </row>
    <row r="41" spans="1:19" ht="16.05" customHeight="1" thickTop="1" thickBot="1" x14ac:dyDescent="0.25">
      <c r="A41" s="248" t="s">
        <v>171</v>
      </c>
      <c r="B41" s="561"/>
      <c r="C41" s="561"/>
      <c r="D41" s="561"/>
      <c r="E41" s="561"/>
      <c r="F41" s="562"/>
      <c r="G41" s="250"/>
      <c r="H41" s="18">
        <f>SUM(H42:H51)</f>
        <v>0</v>
      </c>
      <c r="I41" s="4"/>
    </row>
    <row r="42" spans="1:19" ht="16.05" customHeight="1" thickTop="1" thickBot="1" x14ac:dyDescent="0.25">
      <c r="A42" s="276"/>
      <c r="B42" s="288">
        <v>120107</v>
      </c>
      <c r="C42" s="289" t="s">
        <v>114</v>
      </c>
      <c r="D42" s="279" t="s">
        <v>10</v>
      </c>
      <c r="E42" s="279"/>
      <c r="F42" s="398">
        <v>34</v>
      </c>
      <c r="G42" s="245">
        <f t="shared" ref="G42:G51" si="4">E42*F42</f>
        <v>0</v>
      </c>
      <c r="H42" s="18">
        <f t="shared" si="3"/>
        <v>0</v>
      </c>
      <c r="I42" s="4"/>
    </row>
    <row r="43" spans="1:19" ht="16.05" customHeight="1" thickTop="1" thickBot="1" x14ac:dyDescent="0.25">
      <c r="A43" s="281"/>
      <c r="B43" s="260">
        <v>120207</v>
      </c>
      <c r="C43" s="261" t="s">
        <v>115</v>
      </c>
      <c r="D43" s="259" t="s">
        <v>10</v>
      </c>
      <c r="E43" s="259"/>
      <c r="F43" s="399">
        <v>48</v>
      </c>
      <c r="G43" s="245">
        <f t="shared" si="4"/>
        <v>0</v>
      </c>
      <c r="H43" s="18">
        <f t="shared" si="3"/>
        <v>0</v>
      </c>
      <c r="I43" s="4"/>
    </row>
    <row r="44" spans="1:19" ht="16.05" customHeight="1" thickTop="1" thickBot="1" x14ac:dyDescent="0.25">
      <c r="A44" s="281"/>
      <c r="B44" s="260">
        <v>120307</v>
      </c>
      <c r="C44" s="261" t="s">
        <v>116</v>
      </c>
      <c r="D44" s="259" t="s">
        <v>10</v>
      </c>
      <c r="E44" s="259"/>
      <c r="F44" s="399">
        <v>64</v>
      </c>
      <c r="G44" s="245">
        <f t="shared" si="4"/>
        <v>0</v>
      </c>
      <c r="H44" s="18">
        <f t="shared" si="3"/>
        <v>0</v>
      </c>
      <c r="I44" s="4"/>
    </row>
    <row r="45" spans="1:19" ht="16.05" customHeight="1" thickTop="1" thickBot="1" x14ac:dyDescent="0.25">
      <c r="A45" s="281"/>
      <c r="B45" s="260">
        <v>120407</v>
      </c>
      <c r="C45" s="261" t="s">
        <v>117</v>
      </c>
      <c r="D45" s="259" t="s">
        <v>10</v>
      </c>
      <c r="E45" s="259"/>
      <c r="F45" s="399">
        <v>79</v>
      </c>
      <c r="G45" s="245">
        <f t="shared" si="4"/>
        <v>0</v>
      </c>
      <c r="H45" s="18">
        <f t="shared" si="3"/>
        <v>0</v>
      </c>
      <c r="I45" s="4"/>
    </row>
    <row r="46" spans="1:19" ht="16.05" customHeight="1" thickTop="1" thickBot="1" x14ac:dyDescent="0.25">
      <c r="A46" s="281"/>
      <c r="B46" s="260">
        <v>120607</v>
      </c>
      <c r="C46" s="261" t="s">
        <v>118</v>
      </c>
      <c r="D46" s="259" t="s">
        <v>10</v>
      </c>
      <c r="E46" s="259"/>
      <c r="F46" s="399">
        <v>114</v>
      </c>
      <c r="G46" s="245">
        <f t="shared" si="4"/>
        <v>0</v>
      </c>
      <c r="H46" s="18">
        <f t="shared" si="3"/>
        <v>0</v>
      </c>
      <c r="I46" s="4"/>
    </row>
    <row r="47" spans="1:19" ht="16.05" customHeight="1" thickTop="1" thickBot="1" x14ac:dyDescent="0.25">
      <c r="A47" s="281"/>
      <c r="B47" s="260">
        <v>120807</v>
      </c>
      <c r="C47" s="261" t="s">
        <v>119</v>
      </c>
      <c r="D47" s="259" t="s">
        <v>10</v>
      </c>
      <c r="E47" s="259"/>
      <c r="F47" s="399">
        <v>149</v>
      </c>
      <c r="G47" s="245">
        <f t="shared" si="4"/>
        <v>0</v>
      </c>
      <c r="H47" s="18">
        <f t="shared" si="3"/>
        <v>0</v>
      </c>
      <c r="I47" s="4"/>
    </row>
    <row r="48" spans="1:19" ht="16.05" customHeight="1" thickTop="1" thickBot="1" x14ac:dyDescent="0.25">
      <c r="A48" s="281"/>
      <c r="B48" s="260">
        <v>121007</v>
      </c>
      <c r="C48" s="261" t="s">
        <v>120</v>
      </c>
      <c r="D48" s="259" t="s">
        <v>10</v>
      </c>
      <c r="E48" s="259"/>
      <c r="F48" s="399">
        <v>181</v>
      </c>
      <c r="G48" s="245">
        <f t="shared" si="4"/>
        <v>0</v>
      </c>
      <c r="H48" s="18">
        <f t="shared" si="3"/>
        <v>0</v>
      </c>
      <c r="I48" s="4"/>
      <c r="M48" s="23"/>
      <c r="S48" s="23"/>
    </row>
    <row r="49" spans="1:11" ht="16.05" customHeight="1" thickTop="1" thickBot="1" x14ac:dyDescent="0.25">
      <c r="A49" s="281"/>
      <c r="B49" s="260">
        <v>121207</v>
      </c>
      <c r="C49" s="261" t="s">
        <v>121</v>
      </c>
      <c r="D49" s="259" t="s">
        <v>10</v>
      </c>
      <c r="E49" s="259"/>
      <c r="F49" s="399">
        <v>233</v>
      </c>
      <c r="G49" s="245">
        <f t="shared" si="4"/>
        <v>0</v>
      </c>
      <c r="H49" s="18">
        <f t="shared" si="3"/>
        <v>0</v>
      </c>
      <c r="I49" s="4"/>
    </row>
    <row r="50" spans="1:11" ht="16.05" customHeight="1" thickTop="1" thickBot="1" x14ac:dyDescent="0.25">
      <c r="A50" s="281"/>
      <c r="B50" s="260">
        <v>121507</v>
      </c>
      <c r="C50" s="261" t="s">
        <v>122</v>
      </c>
      <c r="D50" s="259" t="s">
        <v>10</v>
      </c>
      <c r="E50" s="259"/>
      <c r="F50" s="399">
        <v>277</v>
      </c>
      <c r="G50" s="245">
        <f t="shared" si="4"/>
        <v>0</v>
      </c>
      <c r="H50" s="18">
        <f t="shared" si="3"/>
        <v>0</v>
      </c>
      <c r="I50" s="4"/>
    </row>
    <row r="51" spans="1:11" ht="16.05" customHeight="1" thickTop="1" thickBot="1" x14ac:dyDescent="0.25">
      <c r="A51" s="283"/>
      <c r="B51" s="290">
        <v>121907</v>
      </c>
      <c r="C51" s="291" t="s">
        <v>123</v>
      </c>
      <c r="D51" s="286" t="s">
        <v>10</v>
      </c>
      <c r="E51" s="286"/>
      <c r="F51" s="400">
        <v>339</v>
      </c>
      <c r="G51" s="440">
        <f t="shared" si="4"/>
        <v>0</v>
      </c>
      <c r="H51" s="18">
        <f t="shared" si="3"/>
        <v>0</v>
      </c>
      <c r="I51" s="4"/>
    </row>
    <row r="52" spans="1:11" ht="16.05" customHeight="1" thickTop="1" thickBot="1" x14ac:dyDescent="0.25">
      <c r="A52" s="251" t="s">
        <v>172</v>
      </c>
      <c r="B52" s="561"/>
      <c r="C52" s="561"/>
      <c r="D52" s="561"/>
      <c r="E52" s="561"/>
      <c r="F52" s="562"/>
      <c r="G52" s="328"/>
      <c r="H52" s="18">
        <f>H53</f>
        <v>0</v>
      </c>
      <c r="I52" s="4"/>
    </row>
    <row r="53" spans="1:11" ht="16.05" customHeight="1" thickTop="1" thickBot="1" x14ac:dyDescent="0.25">
      <c r="A53" s="292"/>
      <c r="B53" s="293">
        <v>360120</v>
      </c>
      <c r="C53" s="294" t="s">
        <v>173</v>
      </c>
      <c r="D53" s="295" t="s">
        <v>234</v>
      </c>
      <c r="E53" s="295"/>
      <c r="F53" s="401">
        <v>15</v>
      </c>
      <c r="G53" s="296">
        <f t="shared" ref="G53:G60" si="5">E53*F53</f>
        <v>0</v>
      </c>
      <c r="H53" s="18">
        <f t="shared" ref="H53:H60" si="6">E53</f>
        <v>0</v>
      </c>
      <c r="I53" s="4"/>
    </row>
    <row r="54" spans="1:11" ht="16.05" customHeight="1" thickTop="1" thickBot="1" x14ac:dyDescent="0.35">
      <c r="A54" s="251" t="s">
        <v>174</v>
      </c>
      <c r="B54" s="563"/>
      <c r="C54" s="563"/>
      <c r="D54" s="563"/>
      <c r="E54" s="598"/>
      <c r="F54" s="564"/>
      <c r="G54" s="252"/>
      <c r="H54" s="18">
        <f>H55</f>
        <v>0</v>
      </c>
      <c r="I54" s="4"/>
      <c r="J54" s="4"/>
      <c r="K54" s="4"/>
    </row>
    <row r="55" spans="1:11" ht="16.05" customHeight="1" thickTop="1" thickBot="1" x14ac:dyDescent="0.25">
      <c r="A55" s="276"/>
      <c r="B55" s="297">
        <v>360140</v>
      </c>
      <c r="C55" s="298" t="s">
        <v>175</v>
      </c>
      <c r="D55" s="299" t="s">
        <v>176</v>
      </c>
      <c r="E55" s="599"/>
      <c r="F55" s="402">
        <v>15</v>
      </c>
      <c r="G55" s="280">
        <f t="shared" ref="G55" si="7">E55*F55</f>
        <v>0</v>
      </c>
      <c r="H55" s="18">
        <f t="shared" ref="H55" si="8">E55</f>
        <v>0</v>
      </c>
      <c r="I55" s="4"/>
      <c r="J55" s="4"/>
      <c r="K55" s="4"/>
    </row>
    <row r="56" spans="1:11" ht="16.05" customHeight="1" thickBot="1" x14ac:dyDescent="0.25">
      <c r="A56" s="281"/>
      <c r="B56" s="262">
        <v>720815</v>
      </c>
      <c r="C56" s="263" t="s">
        <v>455</v>
      </c>
      <c r="D56" s="264" t="s">
        <v>83</v>
      </c>
      <c r="E56" s="264"/>
      <c r="F56" s="403">
        <v>32</v>
      </c>
      <c r="G56" s="282">
        <f t="shared" si="5"/>
        <v>0</v>
      </c>
      <c r="H56" s="18">
        <f t="shared" si="6"/>
        <v>0</v>
      </c>
      <c r="I56" s="4"/>
    </row>
    <row r="57" spans="1:11" ht="16.05" customHeight="1" thickBot="1" x14ac:dyDescent="0.25">
      <c r="A57" s="281"/>
      <c r="B57" s="262">
        <v>720810</v>
      </c>
      <c r="C57" s="263" t="s">
        <v>454</v>
      </c>
      <c r="D57" s="264" t="s">
        <v>10</v>
      </c>
      <c r="E57" s="264"/>
      <c r="F57" s="439">
        <v>16</v>
      </c>
      <c r="G57" s="282">
        <f t="shared" si="5"/>
        <v>0</v>
      </c>
      <c r="H57" s="18">
        <f t="shared" si="6"/>
        <v>0</v>
      </c>
      <c r="I57" s="4"/>
    </row>
    <row r="58" spans="1:11" ht="16.05" customHeight="1" thickBot="1" x14ac:dyDescent="0.25">
      <c r="A58" s="281"/>
      <c r="B58" s="343">
        <v>720807</v>
      </c>
      <c r="C58" s="344" t="s">
        <v>614</v>
      </c>
      <c r="D58" s="342" t="s">
        <v>83</v>
      </c>
      <c r="E58" s="342"/>
      <c r="F58" s="416">
        <v>7.2</v>
      </c>
      <c r="G58" s="282">
        <f t="shared" si="5"/>
        <v>0</v>
      </c>
      <c r="H58" s="202">
        <f t="shared" si="6"/>
        <v>0</v>
      </c>
      <c r="I58" s="4"/>
    </row>
    <row r="59" spans="1:11" ht="16.05" customHeight="1" thickBot="1" x14ac:dyDescent="0.25">
      <c r="A59" s="281"/>
      <c r="B59" s="343">
        <v>730300</v>
      </c>
      <c r="C59" s="345" t="s">
        <v>613</v>
      </c>
      <c r="D59" s="346" t="s">
        <v>83</v>
      </c>
      <c r="E59" s="346"/>
      <c r="F59" s="417">
        <v>28</v>
      </c>
      <c r="G59" s="282">
        <f t="shared" si="5"/>
        <v>0</v>
      </c>
      <c r="H59" s="202">
        <f t="shared" si="6"/>
        <v>0</v>
      </c>
      <c r="I59" s="4"/>
    </row>
    <row r="60" spans="1:11" ht="16.05" customHeight="1" thickBot="1" x14ac:dyDescent="0.25">
      <c r="A60" s="591"/>
      <c r="B60" s="592">
        <v>92252</v>
      </c>
      <c r="C60" s="593" t="s">
        <v>235</v>
      </c>
      <c r="D60" s="594" t="s">
        <v>61</v>
      </c>
      <c r="E60" s="592"/>
      <c r="F60" s="595">
        <v>71</v>
      </c>
      <c r="G60" s="452">
        <f t="shared" si="5"/>
        <v>0</v>
      </c>
      <c r="H60" s="202">
        <f t="shared" si="6"/>
        <v>0</v>
      </c>
      <c r="I60" s="4"/>
    </row>
    <row r="61" spans="1:11" ht="16.05" customHeight="1" thickTop="1" thickBot="1" x14ac:dyDescent="0.25">
      <c r="A61" s="461" t="s">
        <v>177</v>
      </c>
      <c r="B61" s="462"/>
      <c r="C61" s="462"/>
      <c r="D61" s="462"/>
      <c r="E61" s="462"/>
      <c r="F61" s="463"/>
      <c r="G61" s="464"/>
      <c r="H61" s="199">
        <f>SUM(H62:H78)</f>
        <v>0</v>
      </c>
      <c r="I61" s="4"/>
    </row>
    <row r="62" spans="1:11" ht="16.05" customHeight="1" thickTop="1" thickBot="1" x14ac:dyDescent="0.25">
      <c r="A62" s="276"/>
      <c r="B62" s="300">
        <v>250201</v>
      </c>
      <c r="C62" s="301" t="s">
        <v>178</v>
      </c>
      <c r="D62" s="302" t="s">
        <v>10</v>
      </c>
      <c r="E62" s="302"/>
      <c r="F62" s="404">
        <v>33</v>
      </c>
      <c r="G62" s="280">
        <f>E62*F62</f>
        <v>0</v>
      </c>
      <c r="H62" s="13">
        <f>E62</f>
        <v>0</v>
      </c>
      <c r="I62" s="4"/>
    </row>
    <row r="63" spans="1:11" ht="16.05" customHeight="1" thickBot="1" x14ac:dyDescent="0.25">
      <c r="A63" s="281"/>
      <c r="B63" s="265">
        <v>250301</v>
      </c>
      <c r="C63" s="266" t="s">
        <v>179</v>
      </c>
      <c r="D63" s="267" t="s">
        <v>10</v>
      </c>
      <c r="E63" s="267"/>
      <c r="F63" s="405">
        <v>41</v>
      </c>
      <c r="G63" s="282">
        <f t="shared" ref="G63:G78" si="9">E63*F63</f>
        <v>0</v>
      </c>
      <c r="H63" s="13">
        <f t="shared" ref="H63:H78" si="10">E63</f>
        <v>0</v>
      </c>
      <c r="I63" s="4"/>
    </row>
    <row r="64" spans="1:11" ht="16.05" customHeight="1" thickBot="1" x14ac:dyDescent="0.25">
      <c r="A64" s="281"/>
      <c r="B64" s="265">
        <v>250401</v>
      </c>
      <c r="C64" s="266" t="s">
        <v>180</v>
      </c>
      <c r="D64" s="267" t="s">
        <v>10</v>
      </c>
      <c r="E64" s="267"/>
      <c r="F64" s="405">
        <v>49</v>
      </c>
      <c r="G64" s="282">
        <f t="shared" si="9"/>
        <v>0</v>
      </c>
      <c r="H64" s="13">
        <f t="shared" si="10"/>
        <v>0</v>
      </c>
      <c r="I64" s="4"/>
    </row>
    <row r="65" spans="1:12" ht="16.05" customHeight="1" thickBot="1" x14ac:dyDescent="0.25">
      <c r="A65" s="281"/>
      <c r="B65" s="265">
        <v>250501</v>
      </c>
      <c r="C65" s="266" t="s">
        <v>181</v>
      </c>
      <c r="D65" s="267" t="s">
        <v>10</v>
      </c>
      <c r="E65" s="267"/>
      <c r="F65" s="405">
        <v>56</v>
      </c>
      <c r="G65" s="282">
        <f t="shared" si="9"/>
        <v>0</v>
      </c>
      <c r="H65" s="13">
        <f t="shared" si="10"/>
        <v>0</v>
      </c>
      <c r="I65" s="4"/>
    </row>
    <row r="66" spans="1:12" ht="16.05" customHeight="1" thickBot="1" x14ac:dyDescent="0.25">
      <c r="A66" s="281"/>
      <c r="B66" s="265">
        <v>250601</v>
      </c>
      <c r="C66" s="266" t="s">
        <v>182</v>
      </c>
      <c r="D66" s="267" t="s">
        <v>10</v>
      </c>
      <c r="E66" s="267"/>
      <c r="F66" s="405">
        <v>64</v>
      </c>
      <c r="G66" s="282">
        <f t="shared" si="9"/>
        <v>0</v>
      </c>
      <c r="H66" s="13">
        <f t="shared" si="10"/>
        <v>0</v>
      </c>
      <c r="I66" s="4"/>
    </row>
    <row r="67" spans="1:12" ht="16.05" customHeight="1" thickBot="1" x14ac:dyDescent="0.25">
      <c r="A67" s="281"/>
      <c r="B67" s="265">
        <v>250701</v>
      </c>
      <c r="C67" s="266" t="s">
        <v>183</v>
      </c>
      <c r="D67" s="267" t="s">
        <v>10</v>
      </c>
      <c r="E67" s="267"/>
      <c r="F67" s="405">
        <v>73</v>
      </c>
      <c r="G67" s="282">
        <f t="shared" si="9"/>
        <v>0</v>
      </c>
      <c r="H67" s="13">
        <f t="shared" si="10"/>
        <v>0</v>
      </c>
      <c r="I67" s="4"/>
    </row>
    <row r="68" spans="1:12" ht="16.05" customHeight="1" thickBot="1" x14ac:dyDescent="0.25">
      <c r="A68" s="281"/>
      <c r="B68" s="265">
        <v>250801</v>
      </c>
      <c r="C68" s="266" t="s">
        <v>184</v>
      </c>
      <c r="D68" s="267" t="s">
        <v>10</v>
      </c>
      <c r="E68" s="267"/>
      <c r="F68" s="405">
        <v>82</v>
      </c>
      <c r="G68" s="282">
        <f t="shared" si="9"/>
        <v>0</v>
      </c>
      <c r="H68" s="13">
        <f t="shared" si="10"/>
        <v>0</v>
      </c>
      <c r="I68" s="4"/>
    </row>
    <row r="69" spans="1:12" ht="16.05" customHeight="1" thickBot="1" x14ac:dyDescent="0.25">
      <c r="A69" s="281"/>
      <c r="B69" s="265">
        <v>250901</v>
      </c>
      <c r="C69" s="266" t="s">
        <v>185</v>
      </c>
      <c r="D69" s="267" t="s">
        <v>10</v>
      </c>
      <c r="E69" s="267"/>
      <c r="F69" s="405">
        <v>88</v>
      </c>
      <c r="G69" s="282">
        <f t="shared" si="9"/>
        <v>0</v>
      </c>
      <c r="H69" s="13">
        <f t="shared" si="10"/>
        <v>0</v>
      </c>
      <c r="I69" s="4"/>
    </row>
    <row r="70" spans="1:12" ht="16.05" customHeight="1" thickBot="1" x14ac:dyDescent="0.25">
      <c r="A70" s="281"/>
      <c r="B70" s="265">
        <v>251001</v>
      </c>
      <c r="C70" s="266" t="s">
        <v>186</v>
      </c>
      <c r="D70" s="267" t="s">
        <v>10</v>
      </c>
      <c r="E70" s="267"/>
      <c r="F70" s="405">
        <v>94</v>
      </c>
      <c r="G70" s="282">
        <f t="shared" si="9"/>
        <v>0</v>
      </c>
      <c r="H70" s="13">
        <f t="shared" si="10"/>
        <v>0</v>
      </c>
      <c r="I70" s="4"/>
    </row>
    <row r="71" spans="1:12" ht="16.05" customHeight="1" thickBot="1" x14ac:dyDescent="0.25">
      <c r="A71" s="281"/>
      <c r="B71" s="265">
        <v>251201</v>
      </c>
      <c r="C71" s="266" t="s">
        <v>187</v>
      </c>
      <c r="D71" s="267" t="s">
        <v>10</v>
      </c>
      <c r="E71" s="267"/>
      <c r="F71" s="405">
        <v>117</v>
      </c>
      <c r="G71" s="282">
        <f t="shared" si="9"/>
        <v>0</v>
      </c>
      <c r="H71" s="13">
        <f t="shared" si="10"/>
        <v>0</v>
      </c>
      <c r="I71" s="4"/>
    </row>
    <row r="72" spans="1:12" ht="16.05" customHeight="1" thickBot="1" x14ac:dyDescent="0.25">
      <c r="A72" s="281"/>
      <c r="B72" s="265">
        <v>251401</v>
      </c>
      <c r="C72" s="266" t="s">
        <v>188</v>
      </c>
      <c r="D72" s="267" t="s">
        <v>10</v>
      </c>
      <c r="E72" s="267"/>
      <c r="F72" s="405">
        <v>130</v>
      </c>
      <c r="G72" s="282">
        <f t="shared" si="9"/>
        <v>0</v>
      </c>
      <c r="H72" s="13">
        <f t="shared" si="10"/>
        <v>0</v>
      </c>
      <c r="I72" s="4"/>
    </row>
    <row r="73" spans="1:12" ht="16.05" customHeight="1" thickBot="1" x14ac:dyDescent="0.25">
      <c r="A73" s="281"/>
      <c r="B73" s="265">
        <v>251601</v>
      </c>
      <c r="C73" s="266" t="s">
        <v>189</v>
      </c>
      <c r="D73" s="267" t="s">
        <v>10</v>
      </c>
      <c r="E73" s="267"/>
      <c r="F73" s="405">
        <v>157</v>
      </c>
      <c r="G73" s="282">
        <f t="shared" si="9"/>
        <v>0</v>
      </c>
      <c r="H73" s="13">
        <f t="shared" si="10"/>
        <v>0</v>
      </c>
      <c r="I73" s="4"/>
    </row>
    <row r="74" spans="1:12" ht="16.05" customHeight="1" thickBot="1" x14ac:dyDescent="0.25">
      <c r="A74" s="281"/>
      <c r="B74" s="265">
        <v>251801</v>
      </c>
      <c r="C74" s="266" t="s">
        <v>190</v>
      </c>
      <c r="D74" s="267" t="s">
        <v>10</v>
      </c>
      <c r="E74" s="267"/>
      <c r="F74" s="405">
        <v>179</v>
      </c>
      <c r="G74" s="282">
        <f t="shared" si="9"/>
        <v>0</v>
      </c>
      <c r="H74" s="13">
        <f t="shared" si="10"/>
        <v>0</v>
      </c>
      <c r="I74" s="4"/>
    </row>
    <row r="75" spans="1:12" ht="16.05" customHeight="1" thickBot="1" x14ac:dyDescent="0.25">
      <c r="A75" s="281"/>
      <c r="B75" s="265">
        <v>252001</v>
      </c>
      <c r="C75" s="266" t="s">
        <v>191</v>
      </c>
      <c r="D75" s="267" t="s">
        <v>10</v>
      </c>
      <c r="E75" s="267"/>
      <c r="F75" s="405">
        <v>186</v>
      </c>
      <c r="G75" s="282">
        <f t="shared" si="9"/>
        <v>0</v>
      </c>
      <c r="H75" s="13">
        <f t="shared" si="10"/>
        <v>0</v>
      </c>
      <c r="I75" s="4"/>
    </row>
    <row r="76" spans="1:12" ht="16.05" customHeight="1" thickBot="1" x14ac:dyDescent="0.25">
      <c r="A76" s="281"/>
      <c r="B76" s="265">
        <v>252402</v>
      </c>
      <c r="C76" s="266" t="s">
        <v>192</v>
      </c>
      <c r="D76" s="267" t="s">
        <v>10</v>
      </c>
      <c r="E76" s="267"/>
      <c r="F76" s="405">
        <v>216</v>
      </c>
      <c r="G76" s="282">
        <f t="shared" si="9"/>
        <v>0</v>
      </c>
      <c r="H76" s="13">
        <f t="shared" si="10"/>
        <v>0</v>
      </c>
      <c r="I76" s="4"/>
    </row>
    <row r="77" spans="1:12" ht="16.05" customHeight="1" thickBot="1" x14ac:dyDescent="0.25">
      <c r="A77" s="281"/>
      <c r="B77" s="265">
        <v>253002</v>
      </c>
      <c r="C77" s="266" t="s">
        <v>193</v>
      </c>
      <c r="D77" s="267" t="s">
        <v>10</v>
      </c>
      <c r="E77" s="267"/>
      <c r="F77" s="405">
        <v>272</v>
      </c>
      <c r="G77" s="282">
        <f t="shared" si="9"/>
        <v>0</v>
      </c>
      <c r="H77" s="13">
        <f t="shared" si="10"/>
        <v>0</v>
      </c>
      <c r="I77" s="4"/>
    </row>
    <row r="78" spans="1:12" ht="16.05" customHeight="1" thickBot="1" x14ac:dyDescent="0.25">
      <c r="A78" s="283"/>
      <c r="B78" s="303">
        <v>254002</v>
      </c>
      <c r="C78" s="304" t="s">
        <v>194</v>
      </c>
      <c r="D78" s="305" t="s">
        <v>10</v>
      </c>
      <c r="E78" s="305"/>
      <c r="F78" s="406">
        <v>377</v>
      </c>
      <c r="G78" s="287">
        <f t="shared" si="9"/>
        <v>0</v>
      </c>
      <c r="H78" s="13">
        <f t="shared" si="10"/>
        <v>0</v>
      </c>
      <c r="I78" s="4"/>
    </row>
    <row r="79" spans="1:12" ht="16.05" customHeight="1" thickTop="1" thickBot="1" x14ac:dyDescent="0.25">
      <c r="A79" s="253" t="s">
        <v>456</v>
      </c>
      <c r="B79" s="470"/>
      <c r="C79" s="470"/>
      <c r="D79" s="470"/>
      <c r="E79" s="600"/>
      <c r="F79" s="471"/>
      <c r="G79" s="254"/>
      <c r="H79" s="199">
        <f>SUM(H80:H89)</f>
        <v>0</v>
      </c>
      <c r="I79" s="4"/>
    </row>
    <row r="80" spans="1:12" ht="16.05" customHeight="1" thickTop="1" thickBot="1" x14ac:dyDescent="0.25">
      <c r="A80" s="276"/>
      <c r="B80" s="306">
        <v>340101</v>
      </c>
      <c r="C80" s="307" t="s">
        <v>195</v>
      </c>
      <c r="D80" s="308" t="s">
        <v>10</v>
      </c>
      <c r="E80" s="302"/>
      <c r="F80" s="404">
        <v>36</v>
      </c>
      <c r="G80" s="280">
        <f t="shared" ref="G80:G98" si="11">E80*F80</f>
        <v>0</v>
      </c>
      <c r="H80" s="18">
        <f t="shared" ref="H80:H98" si="12">E80</f>
        <v>0</v>
      </c>
      <c r="I80" s="4"/>
      <c r="L80" s="23"/>
    </row>
    <row r="81" spans="1:9" ht="16.05" customHeight="1" thickBot="1" x14ac:dyDescent="0.25">
      <c r="A81" s="281"/>
      <c r="B81" s="268">
        <v>340201</v>
      </c>
      <c r="C81" s="269" t="s">
        <v>196</v>
      </c>
      <c r="D81" s="270" t="s">
        <v>10</v>
      </c>
      <c r="E81" s="267"/>
      <c r="F81" s="405">
        <v>60</v>
      </c>
      <c r="G81" s="282">
        <f t="shared" si="11"/>
        <v>0</v>
      </c>
      <c r="H81" s="18">
        <f t="shared" si="12"/>
        <v>0</v>
      </c>
      <c r="I81" s="4"/>
    </row>
    <row r="82" spans="1:9" ht="16.05" customHeight="1" thickBot="1" x14ac:dyDescent="0.25">
      <c r="A82" s="281"/>
      <c r="B82" s="268">
        <v>340301</v>
      </c>
      <c r="C82" s="269" t="s">
        <v>197</v>
      </c>
      <c r="D82" s="270" t="s">
        <v>10</v>
      </c>
      <c r="E82" s="270"/>
      <c r="F82" s="405">
        <v>84</v>
      </c>
      <c r="G82" s="282">
        <f t="shared" si="11"/>
        <v>0</v>
      </c>
      <c r="H82" s="18">
        <f t="shared" si="12"/>
        <v>0</v>
      </c>
      <c r="I82" s="4"/>
    </row>
    <row r="83" spans="1:9" ht="16.05" customHeight="1" thickBot="1" x14ac:dyDescent="0.25">
      <c r="A83" s="281"/>
      <c r="B83" s="268">
        <v>340401</v>
      </c>
      <c r="C83" s="269" t="s">
        <v>198</v>
      </c>
      <c r="D83" s="270" t="s">
        <v>10</v>
      </c>
      <c r="E83" s="270"/>
      <c r="F83" s="405">
        <v>110</v>
      </c>
      <c r="G83" s="282">
        <f t="shared" si="11"/>
        <v>0</v>
      </c>
      <c r="H83" s="18">
        <f t="shared" si="12"/>
        <v>0</v>
      </c>
      <c r="I83" s="4"/>
    </row>
    <row r="84" spans="1:9" ht="16.05" customHeight="1" thickBot="1" x14ac:dyDescent="0.25">
      <c r="A84" s="281"/>
      <c r="B84" s="268">
        <v>340501</v>
      </c>
      <c r="C84" s="269" t="s">
        <v>199</v>
      </c>
      <c r="D84" s="270" t="s">
        <v>10</v>
      </c>
      <c r="E84" s="270"/>
      <c r="F84" s="405">
        <v>131</v>
      </c>
      <c r="G84" s="282">
        <f t="shared" si="11"/>
        <v>0</v>
      </c>
      <c r="H84" s="18">
        <f t="shared" si="12"/>
        <v>0</v>
      </c>
      <c r="I84" s="4"/>
    </row>
    <row r="85" spans="1:9" ht="16.05" customHeight="1" thickBot="1" x14ac:dyDescent="0.25">
      <c r="A85" s="281"/>
      <c r="B85" s="268">
        <v>340601</v>
      </c>
      <c r="C85" s="269" t="s">
        <v>200</v>
      </c>
      <c r="D85" s="270" t="s">
        <v>10</v>
      </c>
      <c r="E85" s="270"/>
      <c r="F85" s="405">
        <v>160</v>
      </c>
      <c r="G85" s="282">
        <f t="shared" si="11"/>
        <v>0</v>
      </c>
      <c r="H85" s="18">
        <f t="shared" si="12"/>
        <v>0</v>
      </c>
      <c r="I85" s="4"/>
    </row>
    <row r="86" spans="1:9" ht="16.05" customHeight="1" thickBot="1" x14ac:dyDescent="0.25">
      <c r="A86" s="281"/>
      <c r="B86" s="268">
        <v>340701</v>
      </c>
      <c r="C86" s="269" t="s">
        <v>201</v>
      </c>
      <c r="D86" s="270" t="s">
        <v>10</v>
      </c>
      <c r="E86" s="270"/>
      <c r="F86" s="405">
        <v>180</v>
      </c>
      <c r="G86" s="282">
        <f t="shared" si="11"/>
        <v>0</v>
      </c>
      <c r="H86" s="18">
        <f t="shared" si="12"/>
        <v>0</v>
      </c>
      <c r="I86" s="4"/>
    </row>
    <row r="87" spans="1:9" ht="16.05" customHeight="1" thickBot="1" x14ac:dyDescent="0.25">
      <c r="A87" s="281"/>
      <c r="B87" s="268">
        <v>340801</v>
      </c>
      <c r="C87" s="269" t="s">
        <v>202</v>
      </c>
      <c r="D87" s="270" t="s">
        <v>10</v>
      </c>
      <c r="E87" s="270"/>
      <c r="F87" s="405">
        <v>192</v>
      </c>
      <c r="G87" s="282">
        <f t="shared" si="11"/>
        <v>0</v>
      </c>
      <c r="H87" s="18">
        <f t="shared" si="12"/>
        <v>0</v>
      </c>
      <c r="I87" s="4"/>
    </row>
    <row r="88" spans="1:9" ht="16.05" customHeight="1" thickBot="1" x14ac:dyDescent="0.25">
      <c r="A88" s="281"/>
      <c r="B88" s="268">
        <v>340901</v>
      </c>
      <c r="C88" s="269" t="s">
        <v>203</v>
      </c>
      <c r="D88" s="270" t="s">
        <v>10</v>
      </c>
      <c r="E88" s="270"/>
      <c r="F88" s="405">
        <v>218</v>
      </c>
      <c r="G88" s="282">
        <f t="shared" si="11"/>
        <v>0</v>
      </c>
      <c r="H88" s="18">
        <f t="shared" si="12"/>
        <v>0</v>
      </c>
      <c r="I88" s="4"/>
    </row>
    <row r="89" spans="1:9" ht="16.05" customHeight="1" thickBot="1" x14ac:dyDescent="0.25">
      <c r="A89" s="283"/>
      <c r="B89" s="309">
        <v>341001</v>
      </c>
      <c r="C89" s="310" t="s">
        <v>204</v>
      </c>
      <c r="D89" s="311" t="s">
        <v>10</v>
      </c>
      <c r="E89" s="311"/>
      <c r="F89" s="406">
        <v>244</v>
      </c>
      <c r="G89" s="287">
        <f t="shared" si="11"/>
        <v>0</v>
      </c>
      <c r="H89" s="18">
        <f t="shared" si="12"/>
        <v>0</v>
      </c>
      <c r="I89" s="4"/>
    </row>
    <row r="90" spans="1:9" ht="16.05" customHeight="1" thickTop="1" thickBot="1" x14ac:dyDescent="0.25">
      <c r="A90" s="255" t="s">
        <v>205</v>
      </c>
      <c r="B90" s="565"/>
      <c r="C90" s="565"/>
      <c r="D90" s="565"/>
      <c r="E90" s="570"/>
      <c r="F90" s="566"/>
      <c r="G90" s="256"/>
      <c r="H90" s="199">
        <f>SUM(H91:H98)</f>
        <v>0</v>
      </c>
      <c r="I90" s="4"/>
    </row>
    <row r="91" spans="1:9" ht="16.05" customHeight="1" thickTop="1" thickBot="1" x14ac:dyDescent="0.35">
      <c r="A91" s="312"/>
      <c r="B91" s="313">
        <v>310035</v>
      </c>
      <c r="C91" s="314" t="s">
        <v>206</v>
      </c>
      <c r="D91" s="315" t="s">
        <v>207</v>
      </c>
      <c r="E91" s="601"/>
      <c r="F91" s="407">
        <v>31</v>
      </c>
      <c r="G91" s="280">
        <f t="shared" si="11"/>
        <v>0</v>
      </c>
      <c r="H91" s="18">
        <f t="shared" si="12"/>
        <v>0</v>
      </c>
      <c r="I91" s="4"/>
    </row>
    <row r="92" spans="1:9" ht="16.05" customHeight="1" thickBot="1" x14ac:dyDescent="0.35">
      <c r="A92" s="316"/>
      <c r="B92" s="271">
        <v>310029</v>
      </c>
      <c r="C92" s="272" t="s">
        <v>208</v>
      </c>
      <c r="D92" s="273" t="s">
        <v>207</v>
      </c>
      <c r="E92" s="602"/>
      <c r="F92" s="408">
        <v>24</v>
      </c>
      <c r="G92" s="282">
        <f t="shared" si="11"/>
        <v>0</v>
      </c>
      <c r="H92" s="18">
        <f t="shared" si="12"/>
        <v>0</v>
      </c>
      <c r="I92" s="4"/>
    </row>
    <row r="93" spans="1:9" ht="16.05" customHeight="1" thickBot="1" x14ac:dyDescent="0.35">
      <c r="A93" s="316"/>
      <c r="B93" s="271">
        <v>310050</v>
      </c>
      <c r="C93" s="272" t="s">
        <v>209</v>
      </c>
      <c r="D93" s="273" t="s">
        <v>207</v>
      </c>
      <c r="E93" s="602"/>
      <c r="F93" s="408">
        <v>32</v>
      </c>
      <c r="G93" s="282">
        <f t="shared" si="11"/>
        <v>0</v>
      </c>
      <c r="H93" s="18">
        <f t="shared" si="12"/>
        <v>0</v>
      </c>
      <c r="I93" s="4"/>
    </row>
    <row r="94" spans="1:9" ht="16.05" customHeight="1" thickBot="1" x14ac:dyDescent="0.35">
      <c r="A94" s="316"/>
      <c r="B94" s="271">
        <v>310058</v>
      </c>
      <c r="C94" s="272" t="s">
        <v>210</v>
      </c>
      <c r="D94" s="273" t="s">
        <v>207</v>
      </c>
      <c r="E94" s="602"/>
      <c r="F94" s="408">
        <v>32</v>
      </c>
      <c r="G94" s="282">
        <f t="shared" si="11"/>
        <v>0</v>
      </c>
      <c r="H94" s="18">
        <f t="shared" si="12"/>
        <v>0</v>
      </c>
      <c r="I94" s="4"/>
    </row>
    <row r="95" spans="1:9" ht="16.05" customHeight="1" thickBot="1" x14ac:dyDescent="0.35">
      <c r="A95" s="316"/>
      <c r="B95" s="271">
        <v>310055</v>
      </c>
      <c r="C95" s="272" t="s">
        <v>211</v>
      </c>
      <c r="D95" s="273" t="s">
        <v>207</v>
      </c>
      <c r="E95" s="602"/>
      <c r="F95" s="409">
        <v>36</v>
      </c>
      <c r="G95" s="282">
        <f t="shared" si="11"/>
        <v>0</v>
      </c>
      <c r="H95" s="18">
        <f t="shared" si="12"/>
        <v>0</v>
      </c>
      <c r="I95" s="4"/>
    </row>
    <row r="96" spans="1:9" ht="16.05" customHeight="1" thickBot="1" x14ac:dyDescent="0.35">
      <c r="A96" s="316"/>
      <c r="B96" s="271">
        <v>310075</v>
      </c>
      <c r="C96" s="272" t="s">
        <v>212</v>
      </c>
      <c r="D96" s="273" t="s">
        <v>207</v>
      </c>
      <c r="E96" s="602"/>
      <c r="F96" s="408">
        <v>43</v>
      </c>
      <c r="G96" s="282">
        <f t="shared" si="11"/>
        <v>0</v>
      </c>
      <c r="H96" s="18">
        <f t="shared" si="12"/>
        <v>0</v>
      </c>
      <c r="I96" s="4"/>
    </row>
    <row r="97" spans="1:13" ht="16.05" customHeight="1" thickBot="1" x14ac:dyDescent="0.35">
      <c r="A97" s="316"/>
      <c r="B97" s="271">
        <v>310085</v>
      </c>
      <c r="C97" s="272" t="s">
        <v>213</v>
      </c>
      <c r="D97" s="273" t="s">
        <v>207</v>
      </c>
      <c r="E97" s="602"/>
      <c r="F97" s="409">
        <v>44</v>
      </c>
      <c r="G97" s="282">
        <f t="shared" si="11"/>
        <v>0</v>
      </c>
      <c r="H97" s="18">
        <f t="shared" si="12"/>
        <v>0</v>
      </c>
      <c r="I97" s="4"/>
    </row>
    <row r="98" spans="1:13" ht="16.05" customHeight="1" thickBot="1" x14ac:dyDescent="0.35">
      <c r="A98" s="317"/>
      <c r="B98" s="318">
        <v>310110</v>
      </c>
      <c r="C98" s="319" t="s">
        <v>457</v>
      </c>
      <c r="D98" s="320" t="s">
        <v>207</v>
      </c>
      <c r="E98" s="603"/>
      <c r="F98" s="410">
        <v>51</v>
      </c>
      <c r="G98" s="287">
        <f t="shared" si="11"/>
        <v>0</v>
      </c>
      <c r="H98" s="18">
        <f t="shared" si="12"/>
        <v>0</v>
      </c>
      <c r="I98" s="4"/>
    </row>
    <row r="99" spans="1:13" ht="16.05" customHeight="1" thickTop="1" thickBot="1" x14ac:dyDescent="0.25">
      <c r="A99" s="248" t="s">
        <v>214</v>
      </c>
      <c r="B99" s="567"/>
      <c r="C99" s="567"/>
      <c r="D99" s="567"/>
      <c r="E99" s="604"/>
      <c r="F99" s="568"/>
      <c r="G99" s="249"/>
      <c r="H99" s="18">
        <f>H100</f>
        <v>0</v>
      </c>
      <c r="I99" s="4"/>
      <c r="M99" s="4"/>
    </row>
    <row r="100" spans="1:13" ht="16.05" customHeight="1" thickTop="1" thickBot="1" x14ac:dyDescent="0.25">
      <c r="A100" s="292"/>
      <c r="B100" s="321">
        <v>430010</v>
      </c>
      <c r="C100" s="322" t="s">
        <v>610</v>
      </c>
      <c r="D100" s="321" t="s">
        <v>10</v>
      </c>
      <c r="E100" s="321"/>
      <c r="F100" s="411">
        <v>138</v>
      </c>
      <c r="G100" s="296">
        <f t="shared" ref="G100" si="13">E100*F100</f>
        <v>0</v>
      </c>
      <c r="H100" s="18">
        <f t="shared" ref="H100" si="14">E100</f>
        <v>0</v>
      </c>
      <c r="I100" s="4"/>
      <c r="J100" s="24"/>
      <c r="M100" s="4"/>
    </row>
    <row r="101" spans="1:13" ht="16.05" customHeight="1" thickTop="1" thickBot="1" x14ac:dyDescent="0.25">
      <c r="A101" s="248" t="s">
        <v>458</v>
      </c>
      <c r="B101" s="561"/>
      <c r="C101" s="561"/>
      <c r="D101" s="561"/>
      <c r="E101" s="561"/>
      <c r="F101" s="562"/>
      <c r="G101" s="249"/>
      <c r="H101" s="18">
        <f>SUM(H102:H109)</f>
        <v>0</v>
      </c>
      <c r="I101" s="4"/>
      <c r="J101" s="12"/>
      <c r="M101" s="4"/>
    </row>
    <row r="102" spans="1:13" ht="16.05" customHeight="1" thickTop="1" thickBot="1" x14ac:dyDescent="0.25">
      <c r="A102" s="276"/>
      <c r="B102" s="323">
        <v>131030</v>
      </c>
      <c r="C102" s="324" t="s">
        <v>464</v>
      </c>
      <c r="D102" s="279" t="s">
        <v>10</v>
      </c>
      <c r="E102" s="279"/>
      <c r="F102" s="395">
        <v>62</v>
      </c>
      <c r="G102" s="280">
        <f t="shared" ref="G102:G108" si="15">E102*F102</f>
        <v>0</v>
      </c>
      <c r="H102" s="18">
        <f t="shared" ref="H102:H108" si="16">E102</f>
        <v>0</v>
      </c>
      <c r="I102" s="4"/>
      <c r="J102" s="12"/>
      <c r="M102" s="4"/>
    </row>
    <row r="103" spans="1:13" ht="16.05" customHeight="1" thickBot="1" x14ac:dyDescent="0.25">
      <c r="A103" s="281"/>
      <c r="B103" s="274">
        <v>131050</v>
      </c>
      <c r="C103" s="275" t="s">
        <v>463</v>
      </c>
      <c r="D103" s="259" t="s">
        <v>10</v>
      </c>
      <c r="E103" s="259"/>
      <c r="F103" s="396">
        <v>92</v>
      </c>
      <c r="G103" s="282">
        <f t="shared" si="15"/>
        <v>0</v>
      </c>
      <c r="H103" s="18">
        <f t="shared" si="16"/>
        <v>0</v>
      </c>
      <c r="I103" s="4"/>
      <c r="J103" s="12"/>
      <c r="M103" s="4"/>
    </row>
    <row r="104" spans="1:13" ht="16.05" customHeight="1" thickBot="1" x14ac:dyDescent="0.25">
      <c r="A104" s="281"/>
      <c r="B104" s="274">
        <v>131080</v>
      </c>
      <c r="C104" s="275" t="s">
        <v>215</v>
      </c>
      <c r="D104" s="259" t="s">
        <v>10</v>
      </c>
      <c r="E104" s="259"/>
      <c r="F104" s="396">
        <v>147</v>
      </c>
      <c r="G104" s="282">
        <f t="shared" si="15"/>
        <v>0</v>
      </c>
      <c r="H104" s="18">
        <f t="shared" si="16"/>
        <v>0</v>
      </c>
      <c r="I104" s="4"/>
      <c r="J104" s="12"/>
      <c r="M104" s="4"/>
    </row>
    <row r="105" spans="1:13" ht="16.05" customHeight="1" thickBot="1" x14ac:dyDescent="0.25">
      <c r="A105" s="281"/>
      <c r="B105" s="274">
        <v>131100</v>
      </c>
      <c r="C105" s="275" t="s">
        <v>462</v>
      </c>
      <c r="D105" s="259" t="s">
        <v>10</v>
      </c>
      <c r="E105" s="259"/>
      <c r="F105" s="396">
        <v>190</v>
      </c>
      <c r="G105" s="282">
        <f t="shared" si="15"/>
        <v>0</v>
      </c>
      <c r="H105" s="18">
        <f t="shared" si="16"/>
        <v>0</v>
      </c>
      <c r="I105" s="4"/>
      <c r="J105" s="12"/>
      <c r="M105" s="4"/>
    </row>
    <row r="106" spans="1:13" ht="16.05" customHeight="1" thickBot="1" x14ac:dyDescent="0.25">
      <c r="A106" s="281"/>
      <c r="B106" s="274">
        <v>131120</v>
      </c>
      <c r="C106" s="275" t="s">
        <v>461</v>
      </c>
      <c r="D106" s="259" t="s">
        <v>10</v>
      </c>
      <c r="E106" s="259"/>
      <c r="F106" s="396">
        <v>216</v>
      </c>
      <c r="G106" s="282">
        <f t="shared" si="15"/>
        <v>0</v>
      </c>
      <c r="H106" s="18">
        <f t="shared" si="16"/>
        <v>0</v>
      </c>
      <c r="I106" s="4"/>
      <c r="J106" s="12"/>
      <c r="M106" s="4"/>
    </row>
    <row r="107" spans="1:13" ht="16.05" customHeight="1" thickBot="1" x14ac:dyDescent="0.25">
      <c r="A107" s="281"/>
      <c r="B107" s="274">
        <v>131150</v>
      </c>
      <c r="C107" s="222" t="s">
        <v>460</v>
      </c>
      <c r="D107" s="259" t="s">
        <v>10</v>
      </c>
      <c r="E107" s="259"/>
      <c r="F107" s="396">
        <v>250</v>
      </c>
      <c r="G107" s="282">
        <f t="shared" si="15"/>
        <v>0</v>
      </c>
      <c r="H107" s="18">
        <f t="shared" si="16"/>
        <v>0</v>
      </c>
      <c r="I107" s="4"/>
      <c r="J107" s="12"/>
      <c r="M107" s="4"/>
    </row>
    <row r="108" spans="1:13" ht="16.05" customHeight="1" thickBot="1" x14ac:dyDescent="0.25">
      <c r="A108" s="281"/>
      <c r="B108" s="274">
        <v>131190</v>
      </c>
      <c r="C108" s="222" t="s">
        <v>459</v>
      </c>
      <c r="D108" s="259" t="s">
        <v>10</v>
      </c>
      <c r="E108" s="259"/>
      <c r="F108" s="396">
        <v>298</v>
      </c>
      <c r="G108" s="282">
        <f t="shared" si="15"/>
        <v>0</v>
      </c>
      <c r="H108" s="18">
        <f t="shared" si="16"/>
        <v>0</v>
      </c>
      <c r="I108" s="4"/>
      <c r="J108" s="12"/>
      <c r="M108" s="4"/>
    </row>
    <row r="109" spans="1:13" ht="16.05" customHeight="1" thickBot="1" x14ac:dyDescent="0.25">
      <c r="A109" s="572"/>
      <c r="B109" s="573">
        <v>430030</v>
      </c>
      <c r="C109" s="574" t="s">
        <v>465</v>
      </c>
      <c r="D109" s="575" t="s">
        <v>10</v>
      </c>
      <c r="E109" s="575"/>
      <c r="F109" s="576">
        <v>85</v>
      </c>
      <c r="G109" s="577">
        <f t="shared" ref="G109" si="17">E109*F109</f>
        <v>0</v>
      </c>
      <c r="H109" s="18">
        <f t="shared" ref="H109" si="18">E109</f>
        <v>0</v>
      </c>
      <c r="I109" s="4"/>
      <c r="J109" s="12"/>
      <c r="M109" s="4"/>
    </row>
    <row r="110" spans="1:13" ht="16.05" customHeight="1" thickTop="1" thickBot="1" x14ac:dyDescent="0.25">
      <c r="A110" s="248" t="s">
        <v>216</v>
      </c>
      <c r="B110" s="561"/>
      <c r="C110" s="561"/>
      <c r="D110" s="561"/>
      <c r="E110" s="561"/>
      <c r="F110" s="562"/>
      <c r="G110" s="249"/>
      <c r="H110" s="18">
        <f>SUM(H111:H117)</f>
        <v>0</v>
      </c>
      <c r="I110" s="4"/>
      <c r="J110" s="12"/>
      <c r="M110" s="4"/>
    </row>
    <row r="111" spans="1:13" ht="16.05" customHeight="1" thickTop="1" thickBot="1" x14ac:dyDescent="0.25">
      <c r="A111" s="276"/>
      <c r="B111" s="323">
        <v>136018</v>
      </c>
      <c r="C111" s="324" t="s">
        <v>217</v>
      </c>
      <c r="D111" s="279" t="s">
        <v>10</v>
      </c>
      <c r="E111" s="279"/>
      <c r="F111" s="412"/>
      <c r="G111" s="280">
        <f t="shared" ref="G111:G117" si="19">E111*F111</f>
        <v>0</v>
      </c>
      <c r="H111" s="18">
        <f t="shared" ref="H111:H117" si="20">E111</f>
        <v>0</v>
      </c>
      <c r="I111" s="4"/>
      <c r="J111" s="12"/>
      <c r="M111" s="4"/>
    </row>
    <row r="112" spans="1:13" ht="16.05" customHeight="1" thickBot="1" x14ac:dyDescent="0.25">
      <c r="A112" s="281"/>
      <c r="B112" s="274">
        <v>136030</v>
      </c>
      <c r="C112" s="275" t="s">
        <v>218</v>
      </c>
      <c r="D112" s="259" t="s">
        <v>10</v>
      </c>
      <c r="E112" s="259"/>
      <c r="F112" s="413"/>
      <c r="G112" s="282">
        <f t="shared" si="19"/>
        <v>0</v>
      </c>
      <c r="H112" s="18">
        <f t="shared" si="20"/>
        <v>0</v>
      </c>
      <c r="I112" s="4"/>
      <c r="J112" s="12"/>
      <c r="M112" s="4"/>
    </row>
    <row r="113" spans="1:13" ht="16.05" customHeight="1" thickBot="1" x14ac:dyDescent="0.25">
      <c r="A113" s="281"/>
      <c r="B113" s="274">
        <v>136048</v>
      </c>
      <c r="C113" s="275" t="s">
        <v>219</v>
      </c>
      <c r="D113" s="259" t="s">
        <v>10</v>
      </c>
      <c r="E113" s="259"/>
      <c r="F113" s="413"/>
      <c r="G113" s="282">
        <f t="shared" si="19"/>
        <v>0</v>
      </c>
      <c r="H113" s="18">
        <f t="shared" si="20"/>
        <v>0</v>
      </c>
      <c r="I113" s="4"/>
      <c r="J113" s="12"/>
      <c r="M113" s="4"/>
    </row>
    <row r="114" spans="1:13" ht="16.05" customHeight="1" thickBot="1" x14ac:dyDescent="0.25">
      <c r="A114" s="281"/>
      <c r="B114" s="274">
        <v>136060</v>
      </c>
      <c r="C114" s="275" t="s">
        <v>220</v>
      </c>
      <c r="D114" s="259" t="s">
        <v>10</v>
      </c>
      <c r="E114" s="259"/>
      <c r="F114" s="413"/>
      <c r="G114" s="282">
        <f t="shared" si="19"/>
        <v>0</v>
      </c>
      <c r="H114" s="18">
        <f t="shared" si="20"/>
        <v>0</v>
      </c>
      <c r="I114" s="4"/>
      <c r="J114" s="12"/>
      <c r="M114" s="4"/>
    </row>
    <row r="115" spans="1:13" ht="16.05" customHeight="1" thickBot="1" x14ac:dyDescent="0.25">
      <c r="A115" s="281"/>
      <c r="B115" s="274">
        <v>136072</v>
      </c>
      <c r="C115" s="275" t="s">
        <v>221</v>
      </c>
      <c r="D115" s="259" t="s">
        <v>10</v>
      </c>
      <c r="E115" s="259"/>
      <c r="F115" s="413"/>
      <c r="G115" s="282">
        <f t="shared" si="19"/>
        <v>0</v>
      </c>
      <c r="H115" s="18">
        <f t="shared" si="20"/>
        <v>0</v>
      </c>
      <c r="I115" s="4"/>
      <c r="J115" s="12"/>
      <c r="M115" s="4"/>
    </row>
    <row r="116" spans="1:13" ht="16.05" customHeight="1" thickBot="1" x14ac:dyDescent="0.25">
      <c r="A116" s="281"/>
      <c r="B116" s="274">
        <v>136090</v>
      </c>
      <c r="C116" s="222" t="s">
        <v>222</v>
      </c>
      <c r="D116" s="259" t="s">
        <v>10</v>
      </c>
      <c r="E116" s="259"/>
      <c r="F116" s="413"/>
      <c r="G116" s="282">
        <f t="shared" si="19"/>
        <v>0</v>
      </c>
      <c r="H116" s="18">
        <f t="shared" si="20"/>
        <v>0</v>
      </c>
      <c r="I116" s="4"/>
      <c r="J116" s="12"/>
      <c r="M116" s="4"/>
    </row>
    <row r="117" spans="1:13" ht="16.05" customHeight="1" thickBot="1" x14ac:dyDescent="0.25">
      <c r="A117" s="283"/>
      <c r="B117" s="325">
        <v>136140</v>
      </c>
      <c r="C117" s="326" t="s">
        <v>223</v>
      </c>
      <c r="D117" s="286" t="s">
        <v>10</v>
      </c>
      <c r="E117" s="286"/>
      <c r="F117" s="414"/>
      <c r="G117" s="287">
        <f t="shared" si="19"/>
        <v>0</v>
      </c>
      <c r="H117" s="18">
        <f t="shared" si="20"/>
        <v>0</v>
      </c>
      <c r="I117" s="4"/>
      <c r="J117" s="12"/>
      <c r="M117" s="4"/>
    </row>
    <row r="118" spans="1:13" ht="16.05" customHeight="1" thickTop="1" thickBot="1" x14ac:dyDescent="0.25">
      <c r="A118" s="248" t="s">
        <v>224</v>
      </c>
      <c r="B118" s="567"/>
      <c r="C118" s="567"/>
      <c r="D118" s="567"/>
      <c r="E118" s="604"/>
      <c r="F118" s="568"/>
      <c r="G118" s="249"/>
      <c r="H118" s="199">
        <f>SUM(H119:H120)</f>
        <v>0</v>
      </c>
      <c r="I118" s="4"/>
      <c r="J118" s="12"/>
    </row>
    <row r="119" spans="1:13" ht="16.05" customHeight="1" thickTop="1" thickBot="1" x14ac:dyDescent="0.25">
      <c r="A119" s="276"/>
      <c r="B119" s="279">
        <v>600331</v>
      </c>
      <c r="C119" s="278" t="s">
        <v>225</v>
      </c>
      <c r="D119" s="279" t="s">
        <v>10</v>
      </c>
      <c r="E119" s="279"/>
      <c r="F119" s="395">
        <v>141</v>
      </c>
      <c r="G119" s="280">
        <f t="shared" ref="G119:G122" si="21">E119*F119</f>
        <v>0</v>
      </c>
      <c r="H119" s="18">
        <f t="shared" ref="H119:H122" si="22">E119</f>
        <v>0</v>
      </c>
      <c r="I119" s="4"/>
      <c r="J119" s="12"/>
    </row>
    <row r="120" spans="1:13" ht="16.05" customHeight="1" thickBot="1" x14ac:dyDescent="0.25">
      <c r="A120" s="283"/>
      <c r="B120" s="286">
        <v>600661</v>
      </c>
      <c r="C120" s="285" t="s">
        <v>226</v>
      </c>
      <c r="D120" s="286" t="s">
        <v>10</v>
      </c>
      <c r="E120" s="286"/>
      <c r="F120" s="397">
        <v>211</v>
      </c>
      <c r="G120" s="287">
        <f t="shared" si="21"/>
        <v>0</v>
      </c>
      <c r="H120" s="18">
        <f t="shared" si="22"/>
        <v>0</v>
      </c>
      <c r="I120" s="4"/>
      <c r="J120" s="12"/>
    </row>
    <row r="121" spans="1:13" ht="16.05" customHeight="1" thickTop="1" thickBot="1" x14ac:dyDescent="0.25">
      <c r="A121" s="248" t="s">
        <v>227</v>
      </c>
      <c r="B121" s="567"/>
      <c r="C121" s="567"/>
      <c r="D121" s="567"/>
      <c r="E121" s="604"/>
      <c r="F121" s="568"/>
      <c r="G121" s="249"/>
      <c r="H121" s="18">
        <f>H122</f>
        <v>0</v>
      </c>
      <c r="I121" s="4"/>
    </row>
    <row r="122" spans="1:13" ht="16.05" customHeight="1" thickTop="1" thickBot="1" x14ac:dyDescent="0.25">
      <c r="A122" s="442"/>
      <c r="B122" s="443">
        <v>610331</v>
      </c>
      <c r="C122" s="444" t="s">
        <v>228</v>
      </c>
      <c r="D122" s="445" t="s">
        <v>10</v>
      </c>
      <c r="E122" s="445"/>
      <c r="F122" s="446"/>
      <c r="G122" s="447">
        <f t="shared" si="21"/>
        <v>0</v>
      </c>
      <c r="H122" s="18">
        <f t="shared" si="22"/>
        <v>0</v>
      </c>
      <c r="I122" s="4"/>
    </row>
    <row r="123" spans="1:13" ht="16.05" customHeight="1" thickTop="1" thickBot="1" x14ac:dyDescent="0.25">
      <c r="A123" s="461" t="s">
        <v>466</v>
      </c>
      <c r="B123" s="462"/>
      <c r="C123" s="462"/>
      <c r="D123" s="462"/>
      <c r="E123" s="462"/>
      <c r="F123" s="463"/>
      <c r="G123" s="464"/>
      <c r="H123" s="199">
        <f>SUM(H124:H140)</f>
        <v>0</v>
      </c>
      <c r="I123" s="4"/>
    </row>
    <row r="124" spans="1:13" ht="16.05" customHeight="1" thickTop="1" thickBot="1" x14ac:dyDescent="0.25">
      <c r="A124" s="453"/>
      <c r="B124" s="454">
        <v>442001</v>
      </c>
      <c r="C124" s="455" t="s">
        <v>468</v>
      </c>
      <c r="D124" s="456" t="s">
        <v>10</v>
      </c>
      <c r="E124" s="456"/>
      <c r="F124" s="457">
        <v>33</v>
      </c>
      <c r="G124" s="458">
        <f>E124*F124</f>
        <v>0</v>
      </c>
      <c r="H124" s="13">
        <f>E124</f>
        <v>0</v>
      </c>
      <c r="I124" s="4"/>
    </row>
    <row r="125" spans="1:13" ht="16.05" customHeight="1" thickBot="1" x14ac:dyDescent="0.25">
      <c r="A125" s="281"/>
      <c r="B125" s="265">
        <v>442000</v>
      </c>
      <c r="C125" s="441" t="s">
        <v>467</v>
      </c>
      <c r="D125" s="267" t="s">
        <v>10</v>
      </c>
      <c r="E125" s="267"/>
      <c r="F125" s="405">
        <v>41</v>
      </c>
      <c r="G125" s="282">
        <f t="shared" ref="G125:G140" si="23">E125*F125</f>
        <v>0</v>
      </c>
      <c r="H125" s="13">
        <f t="shared" ref="H125:H140" si="24">E125</f>
        <v>0</v>
      </c>
      <c r="I125" s="4"/>
    </row>
    <row r="126" spans="1:13" ht="25.95" customHeight="1" thickBot="1" x14ac:dyDescent="0.25">
      <c r="A126" s="281"/>
      <c r="B126" s="265">
        <v>110150</v>
      </c>
      <c r="C126" s="334" t="s">
        <v>469</v>
      </c>
      <c r="D126" s="267" t="s">
        <v>10</v>
      </c>
      <c r="E126" s="267"/>
      <c r="F126" s="405">
        <v>49</v>
      </c>
      <c r="G126" s="282">
        <f t="shared" si="23"/>
        <v>0</v>
      </c>
      <c r="H126" s="13">
        <f t="shared" si="24"/>
        <v>0</v>
      </c>
      <c r="I126" s="4"/>
    </row>
    <row r="127" spans="1:13" ht="25.95" customHeight="1" thickBot="1" x14ac:dyDescent="0.25">
      <c r="A127" s="281"/>
      <c r="B127" s="265">
        <v>110225</v>
      </c>
      <c r="C127" s="334" t="s">
        <v>470</v>
      </c>
      <c r="D127" s="267" t="s">
        <v>10</v>
      </c>
      <c r="E127" s="267"/>
      <c r="F127" s="405">
        <v>56</v>
      </c>
      <c r="G127" s="282">
        <f t="shared" si="23"/>
        <v>0</v>
      </c>
      <c r="H127" s="13">
        <f t="shared" si="24"/>
        <v>0</v>
      </c>
      <c r="I127" s="4"/>
    </row>
    <row r="128" spans="1:13" ht="25.95" customHeight="1" thickBot="1" x14ac:dyDescent="0.25">
      <c r="A128" s="281"/>
      <c r="B128" s="265">
        <v>110300</v>
      </c>
      <c r="C128" s="334" t="s">
        <v>471</v>
      </c>
      <c r="D128" s="267" t="s">
        <v>10</v>
      </c>
      <c r="E128" s="267"/>
      <c r="F128" s="405">
        <v>64</v>
      </c>
      <c r="G128" s="282">
        <f t="shared" si="23"/>
        <v>0</v>
      </c>
      <c r="H128" s="13">
        <f t="shared" si="24"/>
        <v>0</v>
      </c>
      <c r="I128" s="4"/>
    </row>
    <row r="129" spans="1:10" ht="25.95" customHeight="1" thickBot="1" x14ac:dyDescent="0.25">
      <c r="A129" s="281"/>
      <c r="B129" s="265">
        <v>110375</v>
      </c>
      <c r="C129" s="334" t="s">
        <v>476</v>
      </c>
      <c r="D129" s="267" t="s">
        <v>10</v>
      </c>
      <c r="E129" s="267"/>
      <c r="F129" s="405">
        <v>73</v>
      </c>
      <c r="G129" s="282">
        <f t="shared" si="23"/>
        <v>0</v>
      </c>
      <c r="H129" s="13">
        <f t="shared" si="24"/>
        <v>0</v>
      </c>
      <c r="I129" s="4"/>
    </row>
    <row r="130" spans="1:10" ht="25.95" customHeight="1" thickBot="1" x14ac:dyDescent="0.25">
      <c r="A130" s="281"/>
      <c r="B130" s="265">
        <v>110450</v>
      </c>
      <c r="C130" s="334" t="s">
        <v>472</v>
      </c>
      <c r="D130" s="267" t="s">
        <v>10</v>
      </c>
      <c r="E130" s="267"/>
      <c r="F130" s="405">
        <v>82</v>
      </c>
      <c r="G130" s="282">
        <f t="shared" si="23"/>
        <v>0</v>
      </c>
      <c r="H130" s="13">
        <f t="shared" si="24"/>
        <v>0</v>
      </c>
      <c r="I130" s="4"/>
    </row>
    <row r="131" spans="1:10" ht="25.95" customHeight="1" thickBot="1" x14ac:dyDescent="0.25">
      <c r="A131" s="281"/>
      <c r="B131" s="265">
        <v>110525</v>
      </c>
      <c r="C131" s="334" t="s">
        <v>473</v>
      </c>
      <c r="D131" s="267" t="s">
        <v>10</v>
      </c>
      <c r="E131" s="267"/>
      <c r="F131" s="405">
        <v>88</v>
      </c>
      <c r="G131" s="282">
        <f t="shared" si="23"/>
        <v>0</v>
      </c>
      <c r="H131" s="13">
        <f t="shared" si="24"/>
        <v>0</v>
      </c>
      <c r="I131" s="4"/>
    </row>
    <row r="132" spans="1:10" ht="25.95" customHeight="1" thickBot="1" x14ac:dyDescent="0.25">
      <c r="A132" s="281"/>
      <c r="B132" s="265">
        <v>110600</v>
      </c>
      <c r="C132" s="334" t="s">
        <v>474</v>
      </c>
      <c r="D132" s="267" t="s">
        <v>10</v>
      </c>
      <c r="E132" s="267"/>
      <c r="F132" s="405">
        <v>94</v>
      </c>
      <c r="G132" s="282">
        <f t="shared" si="23"/>
        <v>0</v>
      </c>
      <c r="H132" s="13">
        <f t="shared" si="24"/>
        <v>0</v>
      </c>
      <c r="I132" s="4"/>
    </row>
    <row r="133" spans="1:10" ht="25.95" customHeight="1" thickBot="1" x14ac:dyDescent="0.25">
      <c r="A133" s="281"/>
      <c r="B133" s="265">
        <v>110675</v>
      </c>
      <c r="C133" s="334" t="s">
        <v>475</v>
      </c>
      <c r="D133" s="267" t="s">
        <v>10</v>
      </c>
      <c r="E133" s="267"/>
      <c r="F133" s="405">
        <v>117</v>
      </c>
      <c r="G133" s="282">
        <f t="shared" si="23"/>
        <v>0</v>
      </c>
      <c r="H133" s="13">
        <f t="shared" si="24"/>
        <v>0</v>
      </c>
      <c r="I133" s="4"/>
    </row>
    <row r="134" spans="1:10" ht="25.95" customHeight="1" thickBot="1" x14ac:dyDescent="0.25">
      <c r="A134" s="281"/>
      <c r="B134" s="265">
        <v>110750</v>
      </c>
      <c r="C134" s="334" t="s">
        <v>477</v>
      </c>
      <c r="D134" s="267" t="s">
        <v>10</v>
      </c>
      <c r="E134" s="267"/>
      <c r="F134" s="405">
        <v>130</v>
      </c>
      <c r="G134" s="282">
        <f t="shared" si="23"/>
        <v>0</v>
      </c>
      <c r="H134" s="13">
        <f t="shared" si="24"/>
        <v>0</v>
      </c>
      <c r="I134" s="4"/>
    </row>
    <row r="135" spans="1:10" ht="25.95" customHeight="1" thickBot="1" x14ac:dyDescent="0.25">
      <c r="A135" s="281"/>
      <c r="B135" s="265">
        <v>110900</v>
      </c>
      <c r="C135" s="334" t="s">
        <v>478</v>
      </c>
      <c r="D135" s="267" t="s">
        <v>10</v>
      </c>
      <c r="E135" s="267"/>
      <c r="F135" s="405">
        <v>157</v>
      </c>
      <c r="G135" s="282">
        <f t="shared" si="23"/>
        <v>0</v>
      </c>
      <c r="H135" s="13">
        <f t="shared" si="24"/>
        <v>0</v>
      </c>
      <c r="I135" s="4"/>
    </row>
    <row r="136" spans="1:10" ht="25.95" customHeight="1" thickBot="1" x14ac:dyDescent="0.25">
      <c r="A136" s="281"/>
      <c r="B136" s="265">
        <v>111050</v>
      </c>
      <c r="C136" s="334" t="s">
        <v>479</v>
      </c>
      <c r="D136" s="267" t="s">
        <v>10</v>
      </c>
      <c r="E136" s="267"/>
      <c r="F136" s="405">
        <v>179</v>
      </c>
      <c r="G136" s="282">
        <f t="shared" si="23"/>
        <v>0</v>
      </c>
      <c r="H136" s="13">
        <f t="shared" si="24"/>
        <v>0</v>
      </c>
      <c r="I136" s="4"/>
    </row>
    <row r="137" spans="1:10" ht="25.95" customHeight="1" thickBot="1" x14ac:dyDescent="0.25">
      <c r="A137" s="281"/>
      <c r="B137" s="265">
        <v>111200</v>
      </c>
      <c r="C137" s="334" t="s">
        <v>480</v>
      </c>
      <c r="D137" s="267" t="s">
        <v>10</v>
      </c>
      <c r="E137" s="267"/>
      <c r="F137" s="405">
        <v>186</v>
      </c>
      <c r="G137" s="282">
        <f t="shared" si="23"/>
        <v>0</v>
      </c>
      <c r="H137" s="13">
        <f t="shared" si="24"/>
        <v>0</v>
      </c>
      <c r="I137" s="4"/>
    </row>
    <row r="138" spans="1:10" ht="25.95" customHeight="1" thickBot="1" x14ac:dyDescent="0.25">
      <c r="A138" s="281"/>
      <c r="B138" s="265">
        <v>111500</v>
      </c>
      <c r="C138" s="334" t="s">
        <v>481</v>
      </c>
      <c r="D138" s="267" t="s">
        <v>10</v>
      </c>
      <c r="E138" s="267"/>
      <c r="F138" s="405">
        <v>216</v>
      </c>
      <c r="G138" s="282">
        <f t="shared" si="23"/>
        <v>0</v>
      </c>
      <c r="H138" s="13">
        <f t="shared" si="24"/>
        <v>0</v>
      </c>
      <c r="I138" s="4"/>
    </row>
    <row r="139" spans="1:10" ht="25.95" customHeight="1" thickBot="1" x14ac:dyDescent="0.25">
      <c r="A139" s="281"/>
      <c r="B139" s="265">
        <v>111800</v>
      </c>
      <c r="C139" s="334" t="s">
        <v>482</v>
      </c>
      <c r="D139" s="267" t="s">
        <v>10</v>
      </c>
      <c r="E139" s="267"/>
      <c r="F139" s="405">
        <v>272</v>
      </c>
      <c r="G139" s="282">
        <f t="shared" si="23"/>
        <v>0</v>
      </c>
      <c r="H139" s="13">
        <f t="shared" si="24"/>
        <v>0</v>
      </c>
      <c r="I139" s="4"/>
    </row>
    <row r="140" spans="1:10" ht="25.95" customHeight="1" thickBot="1" x14ac:dyDescent="0.25">
      <c r="A140" s="448"/>
      <c r="B140" s="449">
        <v>112250</v>
      </c>
      <c r="C140" s="468" t="s">
        <v>483</v>
      </c>
      <c r="D140" s="450" t="s">
        <v>10</v>
      </c>
      <c r="E140" s="450"/>
      <c r="F140" s="451">
        <v>377</v>
      </c>
      <c r="G140" s="452">
        <f t="shared" si="23"/>
        <v>0</v>
      </c>
      <c r="H140" s="13">
        <f t="shared" si="24"/>
        <v>0</v>
      </c>
      <c r="I140" s="4"/>
    </row>
    <row r="141" spans="1:10" ht="16.05" customHeight="1" thickTop="1" thickBot="1" x14ac:dyDescent="0.25">
      <c r="A141" s="236" t="s">
        <v>229</v>
      </c>
      <c r="B141" s="465"/>
      <c r="C141" s="465"/>
      <c r="D141" s="465"/>
      <c r="E141" s="605"/>
      <c r="F141" s="466"/>
      <c r="G141" s="467"/>
      <c r="H141" s="199">
        <f>SUM(H142:H148)</f>
        <v>0</v>
      </c>
      <c r="I141" s="4"/>
    </row>
    <row r="142" spans="1:10" ht="28.05" customHeight="1" thickTop="1" thickBot="1" x14ac:dyDescent="0.25">
      <c r="A142" s="453"/>
      <c r="B142" s="459">
        <v>825400</v>
      </c>
      <c r="C142" s="469" t="s">
        <v>451</v>
      </c>
      <c r="D142" s="459" t="s">
        <v>10</v>
      </c>
      <c r="E142" s="459"/>
      <c r="F142" s="460">
        <v>102</v>
      </c>
      <c r="G142" s="458">
        <f t="shared" ref="G142:G160" si="25">E142*F142</f>
        <v>0</v>
      </c>
      <c r="H142" s="202">
        <f>E142</f>
        <v>0</v>
      </c>
      <c r="I142" s="4"/>
      <c r="J142" s="203"/>
    </row>
    <row r="143" spans="1:10" ht="28.05" customHeight="1" thickBot="1" x14ac:dyDescent="0.25">
      <c r="A143" s="453"/>
      <c r="B143" s="459">
        <v>825880</v>
      </c>
      <c r="C143" s="469" t="s">
        <v>230</v>
      </c>
      <c r="D143" s="459" t="s">
        <v>10</v>
      </c>
      <c r="E143" s="459"/>
      <c r="F143" s="460">
        <v>92</v>
      </c>
      <c r="G143" s="458">
        <f t="shared" si="25"/>
        <v>0</v>
      </c>
      <c r="H143" s="202">
        <f t="shared" ref="H143:H160" si="26">E143</f>
        <v>0</v>
      </c>
      <c r="I143" s="4"/>
      <c r="J143" s="204"/>
    </row>
    <row r="144" spans="1:10" ht="28.05" customHeight="1" thickBot="1" x14ac:dyDescent="0.25">
      <c r="A144" s="281"/>
      <c r="B144" s="257">
        <v>825870</v>
      </c>
      <c r="C144" s="334" t="s">
        <v>485</v>
      </c>
      <c r="D144" s="257" t="s">
        <v>10</v>
      </c>
      <c r="E144" s="257"/>
      <c r="F144" s="415">
        <v>84</v>
      </c>
      <c r="G144" s="282">
        <f t="shared" si="25"/>
        <v>0</v>
      </c>
      <c r="H144" s="202">
        <f t="shared" si="26"/>
        <v>0</v>
      </c>
      <c r="I144" s="4"/>
      <c r="J144" s="204"/>
    </row>
    <row r="145" spans="1:14" ht="28.05" customHeight="1" thickBot="1" x14ac:dyDescent="0.25">
      <c r="A145" s="281"/>
      <c r="B145" s="335">
        <v>825840</v>
      </c>
      <c r="C145" s="336" t="s">
        <v>231</v>
      </c>
      <c r="D145" s="337" t="s">
        <v>10</v>
      </c>
      <c r="E145" s="337"/>
      <c r="F145" s="416">
        <v>45</v>
      </c>
      <c r="G145" s="243">
        <f t="shared" si="25"/>
        <v>0</v>
      </c>
      <c r="H145" s="202">
        <f t="shared" si="26"/>
        <v>0</v>
      </c>
      <c r="I145" s="4"/>
    </row>
    <row r="146" spans="1:14" ht="28.05" customHeight="1" thickBot="1" x14ac:dyDescent="0.25">
      <c r="A146" s="281"/>
      <c r="B146" s="335">
        <v>827000</v>
      </c>
      <c r="C146" s="338" t="s">
        <v>486</v>
      </c>
      <c r="D146" s="339" t="s">
        <v>10</v>
      </c>
      <c r="E146" s="337"/>
      <c r="F146" s="416">
        <v>25</v>
      </c>
      <c r="G146" s="243">
        <f t="shared" si="25"/>
        <v>0</v>
      </c>
      <c r="H146" s="202">
        <f t="shared" si="26"/>
        <v>0</v>
      </c>
      <c r="I146" s="4"/>
    </row>
    <row r="147" spans="1:14" ht="28.05" customHeight="1" thickBot="1" x14ac:dyDescent="0.25">
      <c r="A147" s="281"/>
      <c r="B147" s="335">
        <v>838101</v>
      </c>
      <c r="C147" s="336" t="s">
        <v>232</v>
      </c>
      <c r="D147" s="337" t="s">
        <v>10</v>
      </c>
      <c r="E147" s="337"/>
      <c r="F147" s="416">
        <v>26</v>
      </c>
      <c r="G147" s="243">
        <f t="shared" si="25"/>
        <v>0</v>
      </c>
      <c r="H147" s="202">
        <f t="shared" si="26"/>
        <v>0</v>
      </c>
      <c r="I147" s="4"/>
    </row>
    <row r="148" spans="1:14" ht="16.05" customHeight="1" thickBot="1" x14ac:dyDescent="0.25">
      <c r="A148" s="281"/>
      <c r="B148" s="335">
        <v>860199</v>
      </c>
      <c r="C148" s="336" t="s">
        <v>233</v>
      </c>
      <c r="D148" s="337" t="s">
        <v>10</v>
      </c>
      <c r="E148" s="337"/>
      <c r="F148" s="416">
        <v>13</v>
      </c>
      <c r="G148" s="282">
        <f t="shared" si="25"/>
        <v>0</v>
      </c>
      <c r="H148" s="202">
        <f t="shared" si="26"/>
        <v>0</v>
      </c>
      <c r="I148" s="4"/>
    </row>
    <row r="149" spans="1:14" ht="16.05" customHeight="1" thickTop="1" thickBot="1" x14ac:dyDescent="0.25">
      <c r="A149" s="236" t="s">
        <v>484</v>
      </c>
      <c r="B149" s="465"/>
      <c r="C149" s="465"/>
      <c r="D149" s="465"/>
      <c r="E149" s="605"/>
      <c r="F149" s="466"/>
      <c r="G149" s="467"/>
      <c r="H149" s="199">
        <f>SUM(H150:H157)</f>
        <v>0</v>
      </c>
      <c r="I149" s="4"/>
    </row>
    <row r="150" spans="1:14" ht="16.05" customHeight="1" thickTop="1" thickBot="1" x14ac:dyDescent="0.25">
      <c r="A150" s="281"/>
      <c r="B150" s="343">
        <v>730300</v>
      </c>
      <c r="C150" s="345" t="s">
        <v>241</v>
      </c>
      <c r="D150" s="346" t="s">
        <v>83</v>
      </c>
      <c r="E150" s="346"/>
      <c r="F150" s="417">
        <v>28</v>
      </c>
      <c r="G150" s="282">
        <f>E150*F150</f>
        <v>0</v>
      </c>
      <c r="H150" s="202">
        <f>E150</f>
        <v>0</v>
      </c>
      <c r="I150" s="4"/>
    </row>
    <row r="151" spans="1:14" ht="16.05" customHeight="1" thickBot="1" x14ac:dyDescent="0.25">
      <c r="A151" s="225"/>
      <c r="B151" s="219">
        <v>92252</v>
      </c>
      <c r="C151" s="224" t="s">
        <v>235</v>
      </c>
      <c r="D151" s="223" t="s">
        <v>61</v>
      </c>
      <c r="E151" s="219"/>
      <c r="F151" s="418">
        <v>71</v>
      </c>
      <c r="G151" s="282">
        <f t="shared" ref="G151" si="27">E151*F151</f>
        <v>0</v>
      </c>
      <c r="H151" s="202">
        <f t="shared" ref="H151" si="28">E151</f>
        <v>0</v>
      </c>
      <c r="I151" s="4"/>
    </row>
    <row r="152" spans="1:14" ht="16.05" customHeight="1" thickBot="1" x14ac:dyDescent="0.25">
      <c r="A152" s="281"/>
      <c r="B152" s="340">
        <v>630112</v>
      </c>
      <c r="C152" s="341" t="s">
        <v>488</v>
      </c>
      <c r="D152" s="342" t="s">
        <v>10</v>
      </c>
      <c r="E152" s="342"/>
      <c r="F152" s="416">
        <v>81</v>
      </c>
      <c r="G152" s="282">
        <f>E152*F152</f>
        <v>0</v>
      </c>
      <c r="H152" s="202">
        <f>E152</f>
        <v>0</v>
      </c>
      <c r="I152" s="4"/>
    </row>
    <row r="153" spans="1:14" ht="16.05" customHeight="1" thickBot="1" x14ac:dyDescent="0.25">
      <c r="A153" s="281"/>
      <c r="B153" s="340">
        <v>630113</v>
      </c>
      <c r="C153" s="341" t="s">
        <v>491</v>
      </c>
      <c r="D153" s="342" t="s">
        <v>10</v>
      </c>
      <c r="E153" s="342"/>
      <c r="F153" s="416">
        <v>123</v>
      </c>
      <c r="G153" s="282">
        <f>E153*F153</f>
        <v>0</v>
      </c>
      <c r="H153" s="202">
        <f>E153</f>
        <v>0</v>
      </c>
      <c r="I153" s="4"/>
    </row>
    <row r="154" spans="1:14" customFormat="1" ht="16.05" customHeight="1" thickBot="1" x14ac:dyDescent="0.35">
      <c r="A154" s="210"/>
      <c r="B154" s="211" t="s">
        <v>236</v>
      </c>
      <c r="C154" s="212" t="s">
        <v>490</v>
      </c>
      <c r="D154" s="211" t="s">
        <v>61</v>
      </c>
      <c r="E154" s="211"/>
      <c r="F154" s="432">
        <v>50</v>
      </c>
      <c r="G154" s="229">
        <f t="shared" si="25"/>
        <v>0</v>
      </c>
      <c r="H154" s="209">
        <f t="shared" si="26"/>
        <v>0</v>
      </c>
      <c r="I154" s="4"/>
      <c r="J154" s="22"/>
      <c r="K154" s="22"/>
      <c r="L154" s="22"/>
      <c r="M154" s="22"/>
      <c r="N154" s="22"/>
    </row>
    <row r="155" spans="1:14" customFormat="1" ht="16.05" customHeight="1" thickBot="1" x14ac:dyDescent="0.35">
      <c r="A155" s="210"/>
      <c r="B155" s="211" t="s">
        <v>282</v>
      </c>
      <c r="C155" s="212" t="s">
        <v>489</v>
      </c>
      <c r="D155" s="211" t="s">
        <v>61</v>
      </c>
      <c r="E155" s="211"/>
      <c r="F155" s="432">
        <v>119</v>
      </c>
      <c r="G155" s="229">
        <f t="shared" si="25"/>
        <v>0</v>
      </c>
      <c r="H155" s="209">
        <f t="shared" si="26"/>
        <v>0</v>
      </c>
      <c r="I155" s="4"/>
      <c r="J155" s="22"/>
      <c r="K155" s="22"/>
      <c r="L155" s="22"/>
      <c r="M155" s="22"/>
      <c r="N155" s="22"/>
    </row>
    <row r="156" spans="1:14" ht="16.05" customHeight="1" thickBot="1" x14ac:dyDescent="0.25">
      <c r="A156" s="225"/>
      <c r="B156" s="347" t="s">
        <v>492</v>
      </c>
      <c r="C156" s="194" t="s">
        <v>493</v>
      </c>
      <c r="D156" s="348" t="s">
        <v>61</v>
      </c>
      <c r="E156" s="347"/>
      <c r="F156" s="418">
        <v>6</v>
      </c>
      <c r="G156" s="243">
        <f t="shared" ref="G156" si="29">E156*F156</f>
        <v>0</v>
      </c>
      <c r="H156" s="202">
        <f t="shared" ref="H156" si="30">E156</f>
        <v>0</v>
      </c>
      <c r="I156" s="4"/>
    </row>
    <row r="157" spans="1:14" ht="16.05" customHeight="1" thickBot="1" x14ac:dyDescent="0.25">
      <c r="A157" s="225"/>
      <c r="B157" s="347" t="s">
        <v>237</v>
      </c>
      <c r="C157" s="194" t="s">
        <v>238</v>
      </c>
      <c r="D157" s="348" t="s">
        <v>61</v>
      </c>
      <c r="E157" s="347"/>
      <c r="F157" s="418">
        <v>10</v>
      </c>
      <c r="G157" s="243">
        <f t="shared" si="25"/>
        <v>0</v>
      </c>
      <c r="H157" s="202">
        <f t="shared" si="26"/>
        <v>0</v>
      </c>
      <c r="I157" s="4"/>
    </row>
    <row r="158" spans="1:14" ht="16.05" customHeight="1" thickTop="1" thickBot="1" x14ac:dyDescent="0.25">
      <c r="A158" s="236" t="s">
        <v>487</v>
      </c>
      <c r="B158" s="465"/>
      <c r="C158" s="465"/>
      <c r="D158" s="465"/>
      <c r="E158" s="605"/>
      <c r="F158" s="466"/>
      <c r="G158" s="467"/>
      <c r="H158" s="199">
        <f>SUM(H159:H160)</f>
        <v>0</v>
      </c>
      <c r="I158" s="4"/>
    </row>
    <row r="159" spans="1:14" ht="16.05" customHeight="1" thickTop="1" thickBot="1" x14ac:dyDescent="0.25">
      <c r="A159" s="365"/>
      <c r="B159" s="349">
        <v>720200</v>
      </c>
      <c r="C159" s="350" t="s">
        <v>60</v>
      </c>
      <c r="D159" s="349" t="s">
        <v>61</v>
      </c>
      <c r="E159" s="606"/>
      <c r="F159" s="416">
        <v>5</v>
      </c>
      <c r="G159" s="243">
        <f t="shared" ref="G159" si="31">E159*F159</f>
        <v>0</v>
      </c>
      <c r="H159" s="202">
        <f t="shared" si="26"/>
        <v>0</v>
      </c>
      <c r="I159" s="4"/>
    </row>
    <row r="160" spans="1:14" ht="16.05" customHeight="1" thickBot="1" x14ac:dyDescent="0.25">
      <c r="A160" s="366"/>
      <c r="B160" s="367">
        <v>720310</v>
      </c>
      <c r="C160" s="368" t="s">
        <v>239</v>
      </c>
      <c r="D160" s="367" t="s">
        <v>61</v>
      </c>
      <c r="E160" s="607"/>
      <c r="F160" s="419">
        <v>17</v>
      </c>
      <c r="G160" s="244">
        <f t="shared" si="25"/>
        <v>0</v>
      </c>
      <c r="H160" s="202">
        <f t="shared" si="26"/>
        <v>0</v>
      </c>
      <c r="I160" s="4"/>
    </row>
    <row r="161" spans="1:15" ht="16.05" customHeight="1" thickTop="1" thickBot="1" x14ac:dyDescent="0.25">
      <c r="A161" s="327" t="s">
        <v>37</v>
      </c>
      <c r="B161" s="561"/>
      <c r="C161" s="561"/>
      <c r="D161" s="561"/>
      <c r="E161" s="561"/>
      <c r="F161" s="562"/>
      <c r="G161" s="328"/>
      <c r="H161" s="18">
        <f>SUM(H162:H175)</f>
        <v>0</v>
      </c>
      <c r="I161" s="4"/>
      <c r="J161" s="27" t="s">
        <v>85</v>
      </c>
    </row>
    <row r="162" spans="1:15" ht="16.05" customHeight="1" thickTop="1" thickBot="1" x14ac:dyDescent="0.25">
      <c r="A162" s="276"/>
      <c r="B162" s="369">
        <v>120308</v>
      </c>
      <c r="C162" s="370" t="s">
        <v>24</v>
      </c>
      <c r="D162" s="371" t="s">
        <v>10</v>
      </c>
      <c r="E162" s="371"/>
      <c r="F162" s="420">
        <v>32</v>
      </c>
      <c r="G162" s="280">
        <f t="shared" ref="G162:G175" si="32">E162*F162</f>
        <v>0</v>
      </c>
      <c r="H162" s="18">
        <f t="shared" ref="H162:H175" si="33">E162</f>
        <v>0</v>
      </c>
      <c r="I162" s="4"/>
      <c r="J162" s="27">
        <f>E162*300</f>
        <v>0</v>
      </c>
    </row>
    <row r="163" spans="1:15" ht="16.05" customHeight="1" thickBot="1" x14ac:dyDescent="0.25">
      <c r="A163" s="281"/>
      <c r="B163" s="221">
        <v>120458</v>
      </c>
      <c r="C163" s="222" t="s">
        <v>25</v>
      </c>
      <c r="D163" s="351" t="s">
        <v>10</v>
      </c>
      <c r="E163" s="351"/>
      <c r="F163" s="421">
        <v>46</v>
      </c>
      <c r="G163" s="282">
        <f t="shared" si="32"/>
        <v>0</v>
      </c>
      <c r="H163" s="18">
        <f t="shared" si="33"/>
        <v>0</v>
      </c>
      <c r="I163" s="4"/>
      <c r="J163" s="27">
        <f>E163*450</f>
        <v>0</v>
      </c>
    </row>
    <row r="164" spans="1:15" ht="16.05" customHeight="1" thickBot="1" x14ac:dyDescent="0.25">
      <c r="A164" s="281"/>
      <c r="B164" s="221">
        <v>120608</v>
      </c>
      <c r="C164" s="222" t="s">
        <v>26</v>
      </c>
      <c r="D164" s="351" t="s">
        <v>10</v>
      </c>
      <c r="E164" s="351"/>
      <c r="F164" s="421">
        <v>58</v>
      </c>
      <c r="G164" s="282">
        <f t="shared" si="32"/>
        <v>0</v>
      </c>
      <c r="H164" s="18">
        <f t="shared" si="33"/>
        <v>0</v>
      </c>
      <c r="I164" s="4"/>
      <c r="J164" s="27">
        <f>E164*600</f>
        <v>0</v>
      </c>
    </row>
    <row r="165" spans="1:15" ht="16.05" customHeight="1" thickBot="1" x14ac:dyDescent="0.25">
      <c r="A165" s="281"/>
      <c r="B165" s="221">
        <v>120758</v>
      </c>
      <c r="C165" s="222" t="s">
        <v>27</v>
      </c>
      <c r="D165" s="351" t="s">
        <v>10</v>
      </c>
      <c r="E165" s="351"/>
      <c r="F165" s="421">
        <v>69</v>
      </c>
      <c r="G165" s="282">
        <f t="shared" si="32"/>
        <v>0</v>
      </c>
      <c r="H165" s="18">
        <f t="shared" si="33"/>
        <v>0</v>
      </c>
      <c r="I165" s="4"/>
      <c r="J165" s="27">
        <f>E165*750</f>
        <v>0</v>
      </c>
    </row>
    <row r="166" spans="1:15" ht="16.05" customHeight="1" thickBot="1" x14ac:dyDescent="0.25">
      <c r="A166" s="281"/>
      <c r="B166" s="221">
        <v>120908</v>
      </c>
      <c r="C166" s="222" t="s">
        <v>28</v>
      </c>
      <c r="D166" s="351" t="s">
        <v>10</v>
      </c>
      <c r="E166" s="351"/>
      <c r="F166" s="421">
        <v>75</v>
      </c>
      <c r="G166" s="282">
        <f t="shared" si="32"/>
        <v>0</v>
      </c>
      <c r="H166" s="18">
        <f t="shared" si="33"/>
        <v>0</v>
      </c>
      <c r="I166" s="4"/>
      <c r="J166" s="27">
        <f>E166*900</f>
        <v>0</v>
      </c>
    </row>
    <row r="167" spans="1:15" ht="16.05" customHeight="1" thickBot="1" x14ac:dyDescent="0.25">
      <c r="A167" s="281"/>
      <c r="B167" s="221">
        <v>121208</v>
      </c>
      <c r="C167" s="222" t="s">
        <v>29</v>
      </c>
      <c r="D167" s="351" t="s">
        <v>10</v>
      </c>
      <c r="E167" s="351"/>
      <c r="F167" s="421">
        <v>95</v>
      </c>
      <c r="G167" s="282">
        <f t="shared" si="32"/>
        <v>0</v>
      </c>
      <c r="H167" s="18">
        <f t="shared" si="33"/>
        <v>0</v>
      </c>
      <c r="I167" s="4"/>
      <c r="J167" s="27">
        <f>E167*1200</f>
        <v>0</v>
      </c>
    </row>
    <row r="168" spans="1:15" ht="16.05" customHeight="1" thickBot="1" x14ac:dyDescent="0.25">
      <c r="A168" s="281"/>
      <c r="B168" s="221">
        <v>121508</v>
      </c>
      <c r="C168" s="222" t="s">
        <v>30</v>
      </c>
      <c r="D168" s="351" t="s">
        <v>10</v>
      </c>
      <c r="E168" s="352"/>
      <c r="F168" s="421">
        <v>115</v>
      </c>
      <c r="G168" s="282">
        <f t="shared" si="32"/>
        <v>0</v>
      </c>
      <c r="H168" s="18">
        <f t="shared" si="33"/>
        <v>0</v>
      </c>
      <c r="I168" s="4"/>
      <c r="J168" s="27">
        <f>E168*1500</f>
        <v>0</v>
      </c>
    </row>
    <row r="169" spans="1:15" ht="16.05" customHeight="1" thickBot="1" x14ac:dyDescent="0.25">
      <c r="A169" s="281"/>
      <c r="B169" s="221">
        <v>121808</v>
      </c>
      <c r="C169" s="222" t="s">
        <v>31</v>
      </c>
      <c r="D169" s="351" t="s">
        <v>10</v>
      </c>
      <c r="E169" s="351"/>
      <c r="F169" s="421">
        <v>138</v>
      </c>
      <c r="G169" s="282">
        <f t="shared" si="32"/>
        <v>0</v>
      </c>
      <c r="H169" s="18">
        <f t="shared" si="33"/>
        <v>0</v>
      </c>
      <c r="I169" s="4"/>
      <c r="J169" s="27">
        <f>E169*1800</f>
        <v>0</v>
      </c>
    </row>
    <row r="170" spans="1:15" ht="16.05" customHeight="1" thickBot="1" x14ac:dyDescent="0.25">
      <c r="A170" s="281"/>
      <c r="B170" s="221">
        <v>122108</v>
      </c>
      <c r="C170" s="222" t="s">
        <v>32</v>
      </c>
      <c r="D170" s="351" t="s">
        <v>10</v>
      </c>
      <c r="E170" s="351"/>
      <c r="F170" s="421">
        <v>161</v>
      </c>
      <c r="G170" s="282">
        <f t="shared" si="32"/>
        <v>0</v>
      </c>
      <c r="H170" s="18">
        <f t="shared" si="33"/>
        <v>0</v>
      </c>
      <c r="I170" s="4"/>
      <c r="J170" s="27">
        <f>E170*2100</f>
        <v>0</v>
      </c>
    </row>
    <row r="171" spans="1:15" ht="16.05" customHeight="1" thickBot="1" x14ac:dyDescent="0.25">
      <c r="A171" s="281"/>
      <c r="B171" s="221">
        <v>122408</v>
      </c>
      <c r="C171" s="222" t="s">
        <v>33</v>
      </c>
      <c r="D171" s="351" t="s">
        <v>10</v>
      </c>
      <c r="E171" s="351"/>
      <c r="F171" s="421">
        <v>169</v>
      </c>
      <c r="G171" s="282">
        <f t="shared" si="32"/>
        <v>0</v>
      </c>
      <c r="H171" s="18">
        <f t="shared" si="33"/>
        <v>0</v>
      </c>
      <c r="I171" s="4"/>
      <c r="J171" s="27">
        <f>E171*2400</f>
        <v>0</v>
      </c>
    </row>
    <row r="172" spans="1:15" ht="16.05" customHeight="1" thickBot="1" x14ac:dyDescent="0.25">
      <c r="A172" s="281"/>
      <c r="B172" s="221">
        <v>123008</v>
      </c>
      <c r="C172" s="222" t="s">
        <v>34</v>
      </c>
      <c r="D172" s="351" t="s">
        <v>10</v>
      </c>
      <c r="E172" s="351"/>
      <c r="F172" s="421">
        <v>217</v>
      </c>
      <c r="G172" s="282">
        <f t="shared" si="32"/>
        <v>0</v>
      </c>
      <c r="H172" s="18">
        <f t="shared" si="33"/>
        <v>0</v>
      </c>
      <c r="I172" s="4"/>
      <c r="J172" s="27">
        <f>E172*3000</f>
        <v>0</v>
      </c>
    </row>
    <row r="173" spans="1:15" ht="16.05" customHeight="1" thickBot="1" x14ac:dyDescent="0.25">
      <c r="A173" s="281"/>
      <c r="B173" s="221">
        <v>123408</v>
      </c>
      <c r="C173" s="222" t="s">
        <v>40</v>
      </c>
      <c r="D173" s="351" t="s">
        <v>10</v>
      </c>
      <c r="E173" s="351"/>
      <c r="F173" s="421">
        <v>247</v>
      </c>
      <c r="G173" s="282">
        <f t="shared" si="32"/>
        <v>0</v>
      </c>
      <c r="H173" s="18">
        <f t="shared" si="33"/>
        <v>0</v>
      </c>
      <c r="I173" s="4"/>
      <c r="J173" s="27">
        <f>E173*3400</f>
        <v>0</v>
      </c>
    </row>
    <row r="174" spans="1:15" ht="16.05" customHeight="1" thickBot="1" x14ac:dyDescent="0.25">
      <c r="A174" s="281"/>
      <c r="B174" s="221">
        <v>123608</v>
      </c>
      <c r="C174" s="222" t="s">
        <v>35</v>
      </c>
      <c r="D174" s="351" t="s">
        <v>10</v>
      </c>
      <c r="E174" s="351"/>
      <c r="F174" s="421">
        <v>259</v>
      </c>
      <c r="G174" s="282">
        <f t="shared" si="32"/>
        <v>0</v>
      </c>
      <c r="H174" s="18">
        <f t="shared" si="33"/>
        <v>0</v>
      </c>
      <c r="I174" s="4"/>
      <c r="J174" s="27">
        <f>E174*3600</f>
        <v>0</v>
      </c>
    </row>
    <row r="175" spans="1:15" ht="16.05" customHeight="1" thickBot="1" x14ac:dyDescent="0.25">
      <c r="A175" s="283"/>
      <c r="B175" s="372">
        <v>124208</v>
      </c>
      <c r="C175" s="326" t="s">
        <v>36</v>
      </c>
      <c r="D175" s="373" t="s">
        <v>10</v>
      </c>
      <c r="E175" s="373"/>
      <c r="F175" s="422">
        <v>335</v>
      </c>
      <c r="G175" s="287">
        <f t="shared" si="32"/>
        <v>0</v>
      </c>
      <c r="H175" s="18">
        <f t="shared" si="33"/>
        <v>0</v>
      </c>
      <c r="I175" s="4"/>
      <c r="J175" s="27">
        <f>E175*4200</f>
        <v>0</v>
      </c>
    </row>
    <row r="176" spans="1:15" ht="16.05" customHeight="1" thickTop="1" thickBot="1" x14ac:dyDescent="0.25">
      <c r="A176" s="327" t="s">
        <v>63</v>
      </c>
      <c r="B176" s="561"/>
      <c r="C176" s="561"/>
      <c r="D176" s="561"/>
      <c r="E176" s="561"/>
      <c r="F176" s="562"/>
      <c r="G176" s="254"/>
      <c r="H176" s="13">
        <f>SUM(H177:H180)</f>
        <v>0</v>
      </c>
      <c r="I176" s="4"/>
      <c r="J176" s="12"/>
      <c r="K176" s="4"/>
      <c r="L176" s="4"/>
      <c r="M176" s="4"/>
      <c r="N176" s="4"/>
      <c r="O176" s="4"/>
    </row>
    <row r="177" spans="1:20" ht="16.05" customHeight="1" thickTop="1" thickBot="1" x14ac:dyDescent="0.25">
      <c r="A177" s="276"/>
      <c r="B177" s="369">
        <v>125006</v>
      </c>
      <c r="C177" s="370" t="s">
        <v>26</v>
      </c>
      <c r="D177" s="371" t="s">
        <v>10</v>
      </c>
      <c r="E177" s="371"/>
      <c r="F177" s="420">
        <v>73</v>
      </c>
      <c r="G177" s="280">
        <f>E177*F177</f>
        <v>0</v>
      </c>
      <c r="H177" s="13">
        <f>E177</f>
        <v>0</v>
      </c>
      <c r="I177" s="4"/>
      <c r="J177" s="12"/>
      <c r="K177" s="4"/>
      <c r="L177" s="4"/>
      <c r="M177" s="4"/>
      <c r="N177" s="4"/>
      <c r="O177" s="4"/>
    </row>
    <row r="178" spans="1:20" ht="16.05" customHeight="1" thickBot="1" x14ac:dyDescent="0.25">
      <c r="A178" s="281"/>
      <c r="B178" s="221">
        <v>125012</v>
      </c>
      <c r="C178" s="222" t="s">
        <v>29</v>
      </c>
      <c r="D178" s="351" t="s">
        <v>10</v>
      </c>
      <c r="E178" s="257"/>
      <c r="F178" s="421">
        <v>124</v>
      </c>
      <c r="G178" s="282">
        <f>E178*F178</f>
        <v>0</v>
      </c>
      <c r="H178" s="13">
        <f>E178</f>
        <v>0</v>
      </c>
      <c r="I178" s="4"/>
      <c r="J178" s="12"/>
      <c r="K178" s="4"/>
      <c r="L178" s="4"/>
      <c r="M178" s="4"/>
      <c r="N178" s="4"/>
      <c r="O178" s="4"/>
    </row>
    <row r="179" spans="1:20" ht="16.05" customHeight="1" thickBot="1" x14ac:dyDescent="0.25">
      <c r="A179" s="281"/>
      <c r="B179" s="221">
        <v>125019</v>
      </c>
      <c r="C179" s="222" t="s">
        <v>64</v>
      </c>
      <c r="D179" s="351" t="s">
        <v>10</v>
      </c>
      <c r="E179" s="257"/>
      <c r="F179" s="421">
        <v>198</v>
      </c>
      <c r="G179" s="282">
        <f>E179*F179</f>
        <v>0</v>
      </c>
      <c r="H179" s="13">
        <f>E179</f>
        <v>0</v>
      </c>
      <c r="I179" s="4"/>
      <c r="J179" s="12"/>
      <c r="K179" s="4"/>
      <c r="L179" s="4"/>
      <c r="M179" s="4"/>
      <c r="N179" s="4"/>
      <c r="O179" s="4"/>
    </row>
    <row r="180" spans="1:20" ht="16.05" customHeight="1" thickBot="1" x14ac:dyDescent="0.25">
      <c r="A180" s="283"/>
      <c r="B180" s="372">
        <v>125034</v>
      </c>
      <c r="C180" s="326" t="s">
        <v>65</v>
      </c>
      <c r="D180" s="373" t="s">
        <v>10</v>
      </c>
      <c r="E180" s="372"/>
      <c r="F180" s="422">
        <v>304</v>
      </c>
      <c r="G180" s="287">
        <f>E180*F180</f>
        <v>0</v>
      </c>
      <c r="H180" s="13">
        <f>E180</f>
        <v>0</v>
      </c>
      <c r="I180" s="4"/>
      <c r="J180" s="12"/>
      <c r="K180" s="4"/>
      <c r="L180" s="4"/>
      <c r="M180" s="4"/>
      <c r="N180" s="4"/>
      <c r="O180" s="4"/>
    </row>
    <row r="181" spans="1:20" ht="16.05" customHeight="1" thickTop="1" thickBot="1" x14ac:dyDescent="0.25">
      <c r="A181" s="476" t="s">
        <v>494</v>
      </c>
      <c r="B181" s="477"/>
      <c r="C181" s="477"/>
      <c r="D181" s="477"/>
      <c r="E181" s="477"/>
      <c r="F181" s="477"/>
      <c r="G181" s="478"/>
      <c r="H181" s="18">
        <f>SUM(H182:H191)</f>
        <v>0</v>
      </c>
      <c r="I181" s="4"/>
      <c r="J181" s="4"/>
      <c r="K181" s="4"/>
      <c r="L181" s="4"/>
      <c r="M181" s="4"/>
      <c r="N181" s="4"/>
    </row>
    <row r="182" spans="1:20" ht="16.05" customHeight="1" thickTop="1" thickBot="1" x14ac:dyDescent="0.25">
      <c r="A182" s="453"/>
      <c r="B182" s="459">
        <v>140301</v>
      </c>
      <c r="C182" s="473" t="s">
        <v>495</v>
      </c>
      <c r="D182" s="474" t="s">
        <v>10</v>
      </c>
      <c r="E182" s="608"/>
      <c r="F182" s="475">
        <v>29</v>
      </c>
      <c r="G182" s="458">
        <f t="shared" ref="G182:G191" si="34">E182*F182</f>
        <v>0</v>
      </c>
      <c r="H182" s="18">
        <f t="shared" ref="H182:H191" si="35">E182</f>
        <v>0</v>
      </c>
      <c r="I182" s="4"/>
      <c r="J182" s="4"/>
      <c r="K182" s="4"/>
      <c r="L182" s="4"/>
      <c r="M182" s="4"/>
      <c r="N182" s="4"/>
    </row>
    <row r="183" spans="1:20" ht="16.05" customHeight="1" thickBot="1" x14ac:dyDescent="0.25">
      <c r="A183" s="281"/>
      <c r="B183" s="257">
        <v>140501</v>
      </c>
      <c r="C183" s="472" t="s">
        <v>496</v>
      </c>
      <c r="D183" s="259" t="s">
        <v>10</v>
      </c>
      <c r="E183" s="596"/>
      <c r="F183" s="358">
        <v>42</v>
      </c>
      <c r="G183" s="282">
        <f t="shared" si="34"/>
        <v>0</v>
      </c>
      <c r="H183" s="18">
        <f t="shared" si="35"/>
        <v>0</v>
      </c>
      <c r="I183" s="4"/>
      <c r="J183" s="4"/>
      <c r="K183" s="4"/>
      <c r="L183" s="4"/>
      <c r="M183" s="4"/>
      <c r="N183" s="4"/>
    </row>
    <row r="184" spans="1:20" ht="16.05" customHeight="1" thickBot="1" x14ac:dyDescent="0.25">
      <c r="A184" s="281"/>
      <c r="B184" s="257">
        <v>141001</v>
      </c>
      <c r="C184" s="472" t="s">
        <v>497</v>
      </c>
      <c r="D184" s="259" t="s">
        <v>10</v>
      </c>
      <c r="E184" s="596"/>
      <c r="F184" s="358">
        <v>85</v>
      </c>
      <c r="G184" s="282">
        <f t="shared" si="34"/>
        <v>0</v>
      </c>
      <c r="H184" s="18">
        <f t="shared" si="35"/>
        <v>0</v>
      </c>
      <c r="I184" s="4"/>
      <c r="J184" s="4"/>
      <c r="K184" s="4"/>
      <c r="L184" s="4"/>
      <c r="M184" s="4"/>
      <c r="N184" s="4"/>
    </row>
    <row r="185" spans="1:20" ht="16.05" customHeight="1" thickBot="1" x14ac:dyDescent="0.25">
      <c r="A185" s="281"/>
      <c r="B185" s="257">
        <v>141201</v>
      </c>
      <c r="C185" s="472" t="s">
        <v>498</v>
      </c>
      <c r="D185" s="259" t="s">
        <v>10</v>
      </c>
      <c r="E185" s="596"/>
      <c r="F185" s="358">
        <v>104</v>
      </c>
      <c r="G185" s="282">
        <f t="shared" si="34"/>
        <v>0</v>
      </c>
      <c r="H185" s="18">
        <f t="shared" si="35"/>
        <v>0</v>
      </c>
      <c r="I185" s="4"/>
      <c r="J185" s="4"/>
      <c r="K185" s="4" t="s">
        <v>14</v>
      </c>
      <c r="L185" s="4"/>
      <c r="M185" s="4"/>
      <c r="N185" s="4"/>
    </row>
    <row r="186" spans="1:20" ht="16.05" customHeight="1" thickBot="1" x14ac:dyDescent="0.25">
      <c r="A186" s="281"/>
      <c r="B186" s="257">
        <v>141601</v>
      </c>
      <c r="C186" s="472" t="s">
        <v>499</v>
      </c>
      <c r="D186" s="259" t="s">
        <v>10</v>
      </c>
      <c r="E186" s="596"/>
      <c r="F186" s="358">
        <v>145</v>
      </c>
      <c r="G186" s="282">
        <f t="shared" si="34"/>
        <v>0</v>
      </c>
      <c r="H186" s="18">
        <f t="shared" si="35"/>
        <v>0</v>
      </c>
      <c r="I186" s="4"/>
    </row>
    <row r="187" spans="1:20" ht="16.05" customHeight="1" thickBot="1" x14ac:dyDescent="0.25">
      <c r="A187" s="281"/>
      <c r="B187" s="257">
        <v>141801</v>
      </c>
      <c r="C187" s="472" t="s">
        <v>500</v>
      </c>
      <c r="D187" s="259" t="s">
        <v>10</v>
      </c>
      <c r="E187" s="596"/>
      <c r="F187" s="358">
        <v>163</v>
      </c>
      <c r="G187" s="282">
        <f t="shared" si="34"/>
        <v>0</v>
      </c>
      <c r="H187" s="18">
        <f t="shared" si="35"/>
        <v>0</v>
      </c>
      <c r="I187" s="4"/>
    </row>
    <row r="188" spans="1:20" ht="16.05" customHeight="1" thickBot="1" x14ac:dyDescent="0.25">
      <c r="A188" s="281"/>
      <c r="B188" s="257">
        <v>142001</v>
      </c>
      <c r="C188" s="472" t="s">
        <v>501</v>
      </c>
      <c r="D188" s="259" t="s">
        <v>10</v>
      </c>
      <c r="E188" s="596"/>
      <c r="F188" s="358">
        <v>182</v>
      </c>
      <c r="G188" s="282">
        <f t="shared" si="34"/>
        <v>0</v>
      </c>
      <c r="H188" s="18">
        <f t="shared" si="35"/>
        <v>0</v>
      </c>
      <c r="I188" s="4"/>
    </row>
    <row r="189" spans="1:20" ht="16.05" customHeight="1" thickBot="1" x14ac:dyDescent="0.25">
      <c r="A189" s="281"/>
      <c r="B189" s="257">
        <v>142401</v>
      </c>
      <c r="C189" s="472" t="s">
        <v>502</v>
      </c>
      <c r="D189" s="259" t="s">
        <v>10</v>
      </c>
      <c r="E189" s="596"/>
      <c r="F189" s="358">
        <v>222</v>
      </c>
      <c r="G189" s="282">
        <f t="shared" si="34"/>
        <v>0</v>
      </c>
      <c r="H189" s="18">
        <f t="shared" si="35"/>
        <v>0</v>
      </c>
      <c r="I189" s="4"/>
    </row>
    <row r="190" spans="1:20" ht="16.05" customHeight="1" thickBot="1" x14ac:dyDescent="0.25">
      <c r="A190" s="281"/>
      <c r="B190" s="257">
        <v>142801</v>
      </c>
      <c r="C190" s="472" t="s">
        <v>503</v>
      </c>
      <c r="D190" s="259" t="s">
        <v>10</v>
      </c>
      <c r="E190" s="596"/>
      <c r="F190" s="358">
        <v>265</v>
      </c>
      <c r="G190" s="282">
        <f t="shared" si="34"/>
        <v>0</v>
      </c>
      <c r="H190" s="18">
        <f t="shared" si="35"/>
        <v>0</v>
      </c>
      <c r="I190" s="4"/>
    </row>
    <row r="191" spans="1:20" ht="16.05" customHeight="1" thickBot="1" x14ac:dyDescent="0.25">
      <c r="A191" s="448"/>
      <c r="B191" s="479">
        <v>143201</v>
      </c>
      <c r="C191" s="480" t="s">
        <v>504</v>
      </c>
      <c r="D191" s="481" t="s">
        <v>10</v>
      </c>
      <c r="E191" s="609"/>
      <c r="F191" s="482">
        <v>313</v>
      </c>
      <c r="G191" s="452">
        <f t="shared" si="34"/>
        <v>0</v>
      </c>
      <c r="H191" s="18">
        <f t="shared" si="35"/>
        <v>0</v>
      </c>
      <c r="I191" s="4"/>
    </row>
    <row r="192" spans="1:20" ht="16.05" customHeight="1" thickTop="1" thickBot="1" x14ac:dyDescent="0.25">
      <c r="A192" s="483" t="s">
        <v>66</v>
      </c>
      <c r="B192" s="477"/>
      <c r="C192" s="477"/>
      <c r="D192" s="477"/>
      <c r="E192" s="477"/>
      <c r="F192" s="484"/>
      <c r="G192" s="9"/>
      <c r="H192" s="18">
        <f>SUM(H193:H196)</f>
        <v>0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6.05" customHeight="1" thickTop="1" thickBot="1" x14ac:dyDescent="0.25">
      <c r="A193" s="276"/>
      <c r="B193" s="374" t="s">
        <v>67</v>
      </c>
      <c r="C193" s="370" t="s">
        <v>242</v>
      </c>
      <c r="D193" s="371" t="s">
        <v>10</v>
      </c>
      <c r="E193" s="371"/>
      <c r="F193" s="423">
        <v>46</v>
      </c>
      <c r="G193" s="280">
        <f>E193*F193</f>
        <v>0</v>
      </c>
      <c r="H193" s="18">
        <f>E193</f>
        <v>0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6.05" customHeight="1" thickBot="1" x14ac:dyDescent="0.25">
      <c r="A194" s="281"/>
      <c r="B194" s="221">
        <v>210502</v>
      </c>
      <c r="C194" s="222" t="s">
        <v>243</v>
      </c>
      <c r="D194" s="351" t="s">
        <v>10</v>
      </c>
      <c r="E194" s="351"/>
      <c r="F194" s="424">
        <v>96</v>
      </c>
      <c r="G194" s="282">
        <f>E194*F194</f>
        <v>0</v>
      </c>
      <c r="H194" s="18">
        <f>E194</f>
        <v>0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16.05" customHeight="1" thickBot="1" x14ac:dyDescent="0.25">
      <c r="A195" s="281"/>
      <c r="B195" s="221">
        <v>210802</v>
      </c>
      <c r="C195" s="222" t="s">
        <v>244</v>
      </c>
      <c r="D195" s="351" t="s">
        <v>10</v>
      </c>
      <c r="E195" s="351"/>
      <c r="F195" s="424">
        <v>166</v>
      </c>
      <c r="G195" s="282">
        <f>E195*F195</f>
        <v>0</v>
      </c>
      <c r="H195" s="18">
        <f>E195</f>
        <v>0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6.05" customHeight="1" thickBot="1" x14ac:dyDescent="0.25">
      <c r="A196" s="283"/>
      <c r="B196" s="372">
        <v>211002</v>
      </c>
      <c r="C196" s="326" t="s">
        <v>245</v>
      </c>
      <c r="D196" s="373" t="s">
        <v>10</v>
      </c>
      <c r="E196" s="373"/>
      <c r="F196" s="425">
        <v>180</v>
      </c>
      <c r="G196" s="287">
        <f>E196*F196</f>
        <v>0</v>
      </c>
      <c r="H196" s="18">
        <f>E196</f>
        <v>0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16.05" customHeight="1" thickTop="1" thickBot="1" x14ac:dyDescent="0.25">
      <c r="A197" s="327" t="s">
        <v>68</v>
      </c>
      <c r="B197" s="561"/>
      <c r="C197" s="561"/>
      <c r="D197" s="561"/>
      <c r="E197" s="561"/>
      <c r="F197" s="562"/>
      <c r="G197" s="254"/>
      <c r="H197" s="18">
        <f>SUM(H198:H201)</f>
        <v>0</v>
      </c>
      <c r="I197" s="4"/>
      <c r="J197" s="4"/>
      <c r="K197" s="4"/>
      <c r="L197" s="4"/>
      <c r="M197" s="4"/>
      <c r="N197" s="4"/>
      <c r="O197" s="4"/>
      <c r="P197" s="4"/>
      <c r="Q197" s="4"/>
    </row>
    <row r="198" spans="1:20" ht="16.05" customHeight="1" thickTop="1" thickBot="1" x14ac:dyDescent="0.25">
      <c r="A198" s="276"/>
      <c r="B198" s="369">
        <v>126002</v>
      </c>
      <c r="C198" s="370" t="s">
        <v>246</v>
      </c>
      <c r="D198" s="371" t="s">
        <v>10</v>
      </c>
      <c r="E198" s="371"/>
      <c r="F198" s="423">
        <v>92</v>
      </c>
      <c r="G198" s="280">
        <f>E198*F198</f>
        <v>0</v>
      </c>
      <c r="H198" s="18">
        <f>E198</f>
        <v>0</v>
      </c>
      <c r="I198" s="4"/>
      <c r="J198" s="4"/>
      <c r="K198" s="4"/>
      <c r="L198" s="4"/>
      <c r="M198" s="4"/>
      <c r="N198" s="4"/>
      <c r="O198" s="4"/>
      <c r="P198" s="4"/>
      <c r="Q198" s="4"/>
    </row>
    <row r="199" spans="1:20" ht="16.05" customHeight="1" thickBot="1" x14ac:dyDescent="0.25">
      <c r="A199" s="281"/>
      <c r="B199" s="221">
        <v>126005</v>
      </c>
      <c r="C199" s="222" t="s">
        <v>247</v>
      </c>
      <c r="D199" s="351" t="s">
        <v>10</v>
      </c>
      <c r="E199" s="351"/>
      <c r="F199" s="424">
        <v>161</v>
      </c>
      <c r="G199" s="282">
        <f>E199*F199</f>
        <v>0</v>
      </c>
      <c r="H199" s="18">
        <f>E199</f>
        <v>0</v>
      </c>
      <c r="I199" s="4"/>
      <c r="J199" s="4"/>
      <c r="K199" s="4"/>
      <c r="L199" s="4"/>
      <c r="M199" s="4"/>
      <c r="N199" s="4"/>
      <c r="O199" s="4"/>
      <c r="P199" s="4"/>
      <c r="Q199" s="4"/>
    </row>
    <row r="200" spans="1:20" ht="16.05" customHeight="1" thickBot="1" x14ac:dyDescent="0.25">
      <c r="A200" s="281"/>
      <c r="B200" s="221">
        <v>126008</v>
      </c>
      <c r="C200" s="222" t="s">
        <v>248</v>
      </c>
      <c r="D200" s="351" t="s">
        <v>10</v>
      </c>
      <c r="E200" s="351"/>
      <c r="F200" s="424">
        <v>257</v>
      </c>
      <c r="G200" s="282">
        <f>E200*F200</f>
        <v>0</v>
      </c>
      <c r="H200" s="18">
        <f>E200</f>
        <v>0</v>
      </c>
      <c r="I200" s="4"/>
      <c r="J200" s="4"/>
      <c r="K200" s="4"/>
      <c r="L200" s="4"/>
      <c r="M200" s="4"/>
      <c r="N200" s="4"/>
      <c r="O200" s="4"/>
      <c r="P200" s="4"/>
      <c r="Q200" s="4"/>
    </row>
    <row r="201" spans="1:20" ht="16.05" customHeight="1" thickBot="1" x14ac:dyDescent="0.25">
      <c r="A201" s="283"/>
      <c r="B201" s="372">
        <v>126010</v>
      </c>
      <c r="C201" s="326" t="s">
        <v>249</v>
      </c>
      <c r="D201" s="373" t="s">
        <v>10</v>
      </c>
      <c r="E201" s="373"/>
      <c r="F201" s="425">
        <v>321</v>
      </c>
      <c r="G201" s="287">
        <f>E201*F201</f>
        <v>0</v>
      </c>
      <c r="H201" s="18">
        <f>E201</f>
        <v>0</v>
      </c>
      <c r="I201" s="4"/>
      <c r="J201" s="4"/>
      <c r="K201" s="4"/>
      <c r="L201" s="4"/>
      <c r="M201" s="4"/>
      <c r="N201" s="4"/>
      <c r="O201" s="4"/>
      <c r="P201" s="4"/>
      <c r="Q201" s="4"/>
    </row>
    <row r="202" spans="1:20" ht="16.05" customHeight="1" thickTop="1" thickBot="1" x14ac:dyDescent="0.25">
      <c r="A202" s="488" t="s">
        <v>427</v>
      </c>
      <c r="B202" s="477"/>
      <c r="C202" s="477"/>
      <c r="D202" s="477"/>
      <c r="E202" s="477"/>
      <c r="F202" s="484"/>
      <c r="G202" s="489"/>
      <c r="H202" s="18">
        <f>SUM(H203:H219)</f>
        <v>0</v>
      </c>
      <c r="I202" s="4"/>
      <c r="J202" s="27" t="s">
        <v>85</v>
      </c>
    </row>
    <row r="203" spans="1:20" ht="16.05" customHeight="1" thickTop="1" thickBot="1" x14ac:dyDescent="0.25">
      <c r="A203" s="490"/>
      <c r="B203" s="491" t="s">
        <v>428</v>
      </c>
      <c r="C203" s="370" t="s">
        <v>429</v>
      </c>
      <c r="D203" s="371" t="s">
        <v>10</v>
      </c>
      <c r="E203" s="371"/>
      <c r="F203" s="492">
        <v>242</v>
      </c>
      <c r="G203" s="493">
        <f t="shared" ref="G203:G219" si="36">E203*F203</f>
        <v>0</v>
      </c>
      <c r="H203" s="18">
        <f t="shared" ref="H203:H219" si="37">E203</f>
        <v>0</v>
      </c>
      <c r="I203" s="4"/>
      <c r="J203" s="27">
        <f>E203*300</f>
        <v>0</v>
      </c>
    </row>
    <row r="204" spans="1:20" ht="16.05" customHeight="1" thickBot="1" x14ac:dyDescent="0.25">
      <c r="A204" s="365"/>
      <c r="B204" s="485" t="s">
        <v>430</v>
      </c>
      <c r="C204" s="222" t="s">
        <v>431</v>
      </c>
      <c r="D204" s="351" t="s">
        <v>10</v>
      </c>
      <c r="E204" s="351"/>
      <c r="F204" s="486">
        <v>125</v>
      </c>
      <c r="G204" s="494">
        <f t="shared" si="36"/>
        <v>0</v>
      </c>
      <c r="H204" s="18">
        <f t="shared" si="37"/>
        <v>0</v>
      </c>
      <c r="I204" s="4"/>
      <c r="J204" s="27">
        <f>E204*450</f>
        <v>0</v>
      </c>
    </row>
    <row r="205" spans="1:20" ht="16.05" customHeight="1" thickBot="1" x14ac:dyDescent="0.25">
      <c r="A205" s="365"/>
      <c r="B205" s="485" t="s">
        <v>432</v>
      </c>
      <c r="C205" s="222" t="s">
        <v>433</v>
      </c>
      <c r="D205" s="351" t="s">
        <v>10</v>
      </c>
      <c r="E205" s="351"/>
      <c r="F205" s="486">
        <v>191</v>
      </c>
      <c r="G205" s="494">
        <f t="shared" si="36"/>
        <v>0</v>
      </c>
      <c r="H205" s="18">
        <f t="shared" si="37"/>
        <v>0</v>
      </c>
      <c r="I205" s="4"/>
      <c r="J205" s="27">
        <f>E205*600</f>
        <v>0</v>
      </c>
    </row>
    <row r="206" spans="1:20" ht="16.05" customHeight="1" thickBot="1" x14ac:dyDescent="0.25">
      <c r="A206" s="365"/>
      <c r="B206" s="485" t="s">
        <v>434</v>
      </c>
      <c r="C206" s="222" t="s">
        <v>435</v>
      </c>
      <c r="D206" s="351" t="s">
        <v>10</v>
      </c>
      <c r="E206" s="351"/>
      <c r="F206" s="486">
        <v>191</v>
      </c>
      <c r="G206" s="494">
        <f t="shared" si="36"/>
        <v>0</v>
      </c>
      <c r="H206" s="18">
        <f t="shared" si="37"/>
        <v>0</v>
      </c>
      <c r="I206" s="4"/>
      <c r="J206" s="27">
        <f>E206*750</f>
        <v>0</v>
      </c>
    </row>
    <row r="207" spans="1:20" ht="16.05" customHeight="1" thickBot="1" x14ac:dyDescent="0.25">
      <c r="A207" s="365"/>
      <c r="B207" s="485" t="s">
        <v>436</v>
      </c>
      <c r="C207" s="222" t="s">
        <v>437</v>
      </c>
      <c r="D207" s="351" t="s">
        <v>10</v>
      </c>
      <c r="E207" s="351"/>
      <c r="F207" s="486">
        <v>38</v>
      </c>
      <c r="G207" s="494">
        <f t="shared" si="36"/>
        <v>0</v>
      </c>
      <c r="H207" s="18">
        <f t="shared" si="37"/>
        <v>0</v>
      </c>
      <c r="I207" s="4"/>
      <c r="J207" s="27">
        <f>E207*900</f>
        <v>0</v>
      </c>
    </row>
    <row r="208" spans="1:20" ht="25.95" customHeight="1" thickBot="1" x14ac:dyDescent="0.25">
      <c r="A208" s="365"/>
      <c r="B208" s="485" t="s">
        <v>438</v>
      </c>
      <c r="C208" s="275" t="s">
        <v>505</v>
      </c>
      <c r="D208" s="351" t="s">
        <v>10</v>
      </c>
      <c r="E208" s="351"/>
      <c r="F208" s="486">
        <v>243</v>
      </c>
      <c r="G208" s="494">
        <f t="shared" si="36"/>
        <v>0</v>
      </c>
      <c r="H208" s="18">
        <f t="shared" si="37"/>
        <v>0</v>
      </c>
      <c r="I208" s="4"/>
      <c r="J208" s="27">
        <f>E208*1200</f>
        <v>0</v>
      </c>
    </row>
    <row r="209" spans="1:10" ht="25.95" customHeight="1" thickBot="1" x14ac:dyDescent="0.25">
      <c r="A209" s="365"/>
      <c r="B209" s="485" t="s">
        <v>439</v>
      </c>
      <c r="C209" s="275" t="s">
        <v>506</v>
      </c>
      <c r="D209" s="351" t="s">
        <v>10</v>
      </c>
      <c r="E209" s="352"/>
      <c r="F209" s="486">
        <v>227</v>
      </c>
      <c r="G209" s="494">
        <f t="shared" si="36"/>
        <v>0</v>
      </c>
      <c r="H209" s="18">
        <f t="shared" si="37"/>
        <v>0</v>
      </c>
      <c r="I209" s="4"/>
      <c r="J209" s="27">
        <f>E209*1500</f>
        <v>0</v>
      </c>
    </row>
    <row r="210" spans="1:10" ht="16.05" customHeight="1" thickBot="1" x14ac:dyDescent="0.25">
      <c r="A210" s="365"/>
      <c r="B210" s="485" t="s">
        <v>440</v>
      </c>
      <c r="C210" s="222" t="s">
        <v>441</v>
      </c>
      <c r="D210" s="351" t="s">
        <v>10</v>
      </c>
      <c r="E210" s="351"/>
      <c r="F210" s="486">
        <v>63</v>
      </c>
      <c r="G210" s="494">
        <f t="shared" si="36"/>
        <v>0</v>
      </c>
      <c r="H210" s="18">
        <f t="shared" si="37"/>
        <v>0</v>
      </c>
      <c r="I210" s="4"/>
      <c r="J210" s="27">
        <f>E210*1800</f>
        <v>0</v>
      </c>
    </row>
    <row r="211" spans="1:10" ht="16.05" customHeight="1" thickBot="1" x14ac:dyDescent="0.25">
      <c r="A211" s="365"/>
      <c r="B211" s="335">
        <v>892551</v>
      </c>
      <c r="C211" s="275" t="s">
        <v>442</v>
      </c>
      <c r="D211" s="351" t="s">
        <v>10</v>
      </c>
      <c r="E211" s="351"/>
      <c r="F211" s="416">
        <v>106</v>
      </c>
      <c r="G211" s="494">
        <f t="shared" si="36"/>
        <v>0</v>
      </c>
      <c r="H211" s="18">
        <f t="shared" si="37"/>
        <v>0</v>
      </c>
      <c r="I211" s="4"/>
      <c r="J211" s="27">
        <f>E211*2100</f>
        <v>0</v>
      </c>
    </row>
    <row r="212" spans="1:10" ht="16.05" customHeight="1" thickBot="1" x14ac:dyDescent="0.25">
      <c r="A212" s="365"/>
      <c r="B212" s="485">
        <v>891551</v>
      </c>
      <c r="C212" s="222" t="s">
        <v>88</v>
      </c>
      <c r="D212" s="351" t="s">
        <v>10</v>
      </c>
      <c r="E212" s="351"/>
      <c r="F212" s="486">
        <v>91</v>
      </c>
      <c r="G212" s="494">
        <f t="shared" si="36"/>
        <v>0</v>
      </c>
      <c r="H212" s="18">
        <f t="shared" si="37"/>
        <v>0</v>
      </c>
      <c r="I212" s="4"/>
      <c r="J212" s="27">
        <f>E212*2400</f>
        <v>0</v>
      </c>
    </row>
    <row r="213" spans="1:10" ht="16.05" customHeight="1" thickBot="1" x14ac:dyDescent="0.25">
      <c r="A213" s="365"/>
      <c r="B213" s="485">
        <v>891650</v>
      </c>
      <c r="C213" s="222" t="s">
        <v>443</v>
      </c>
      <c r="D213" s="351" t="s">
        <v>10</v>
      </c>
      <c r="E213" s="351"/>
      <c r="F213" s="486">
        <v>42</v>
      </c>
      <c r="G213" s="494">
        <f t="shared" si="36"/>
        <v>0</v>
      </c>
      <c r="H213" s="18">
        <f t="shared" si="37"/>
        <v>0</v>
      </c>
      <c r="I213" s="4"/>
      <c r="J213" s="27">
        <f>E213*3000</f>
        <v>0</v>
      </c>
    </row>
    <row r="214" spans="1:10" ht="16.05" customHeight="1" thickBot="1" x14ac:dyDescent="0.25">
      <c r="A214" s="365"/>
      <c r="B214" s="485">
        <v>860199</v>
      </c>
      <c r="C214" s="222" t="s">
        <v>444</v>
      </c>
      <c r="D214" s="351" t="s">
        <v>10</v>
      </c>
      <c r="E214" s="351"/>
      <c r="F214" s="486">
        <v>13</v>
      </c>
      <c r="G214" s="494">
        <f t="shared" si="36"/>
        <v>0</v>
      </c>
      <c r="H214" s="18">
        <f t="shared" si="37"/>
        <v>0</v>
      </c>
      <c r="I214" s="4"/>
      <c r="J214" s="27">
        <f>E214*3400</f>
        <v>0</v>
      </c>
    </row>
    <row r="215" spans="1:10" ht="16.05" customHeight="1" thickBot="1" x14ac:dyDescent="0.25">
      <c r="A215" s="365"/>
      <c r="B215" s="485">
        <v>901441</v>
      </c>
      <c r="C215" s="222" t="s">
        <v>445</v>
      </c>
      <c r="D215" s="351" t="s">
        <v>10</v>
      </c>
      <c r="E215" s="351"/>
      <c r="F215" s="486">
        <v>51</v>
      </c>
      <c r="G215" s="494">
        <f t="shared" si="36"/>
        <v>0</v>
      </c>
      <c r="H215" s="18">
        <f t="shared" si="37"/>
        <v>0</v>
      </c>
      <c r="I215" s="4"/>
      <c r="J215" s="27">
        <f>E215*450</f>
        <v>0</v>
      </c>
    </row>
    <row r="216" spans="1:10" ht="16.05" customHeight="1" thickBot="1" x14ac:dyDescent="0.25">
      <c r="A216" s="365"/>
      <c r="B216" s="485">
        <v>893550</v>
      </c>
      <c r="C216" s="222" t="s">
        <v>446</v>
      </c>
      <c r="D216" s="351" t="s">
        <v>10</v>
      </c>
      <c r="E216" s="351"/>
      <c r="F216" s="486">
        <v>324</v>
      </c>
      <c r="G216" s="494">
        <f t="shared" si="36"/>
        <v>0</v>
      </c>
      <c r="H216" s="18">
        <f t="shared" si="37"/>
        <v>0</v>
      </c>
      <c r="I216" s="4"/>
      <c r="J216" s="27">
        <f>E216*600</f>
        <v>0</v>
      </c>
    </row>
    <row r="217" spans="1:10" ht="16.05" customHeight="1" thickBot="1" x14ac:dyDescent="0.25">
      <c r="A217" s="365"/>
      <c r="B217" s="485">
        <v>900056</v>
      </c>
      <c r="C217" s="222" t="s">
        <v>447</v>
      </c>
      <c r="D217" s="351" t="s">
        <v>10</v>
      </c>
      <c r="E217" s="351"/>
      <c r="F217" s="486">
        <v>221</v>
      </c>
      <c r="G217" s="494">
        <f t="shared" si="36"/>
        <v>0</v>
      </c>
      <c r="H217" s="18">
        <f t="shared" si="37"/>
        <v>0</v>
      </c>
      <c r="I217" s="4"/>
      <c r="J217" s="27">
        <f>E217*750</f>
        <v>0</v>
      </c>
    </row>
    <row r="218" spans="1:10" ht="16.05" customHeight="1" thickBot="1" x14ac:dyDescent="0.25">
      <c r="A218" s="365"/>
      <c r="B218" s="485">
        <v>890065</v>
      </c>
      <c r="C218" s="222" t="s">
        <v>448</v>
      </c>
      <c r="D218" s="351" t="s">
        <v>10</v>
      </c>
      <c r="E218" s="351"/>
      <c r="F218" s="486">
        <v>261</v>
      </c>
      <c r="G218" s="494">
        <f t="shared" si="36"/>
        <v>0</v>
      </c>
      <c r="H218" s="18">
        <f t="shared" si="37"/>
        <v>0</v>
      </c>
      <c r="I218" s="4"/>
      <c r="J218" s="27">
        <f>E218*900</f>
        <v>0</v>
      </c>
    </row>
    <row r="219" spans="1:10" ht="16.05" customHeight="1" thickBot="1" x14ac:dyDescent="0.25">
      <c r="A219" s="366"/>
      <c r="B219" s="495">
        <v>900055</v>
      </c>
      <c r="C219" s="326" t="s">
        <v>449</v>
      </c>
      <c r="D219" s="373" t="s">
        <v>10</v>
      </c>
      <c r="E219" s="373"/>
      <c r="F219" s="496">
        <v>261</v>
      </c>
      <c r="G219" s="497">
        <f t="shared" si="36"/>
        <v>0</v>
      </c>
      <c r="H219" s="18">
        <f t="shared" si="37"/>
        <v>0</v>
      </c>
      <c r="I219" s="4"/>
      <c r="J219" s="27">
        <f>E219*1200</f>
        <v>0</v>
      </c>
    </row>
    <row r="220" spans="1:10" ht="18" customHeight="1" thickTop="1" thickBot="1" x14ac:dyDescent="0.25">
      <c r="A220" s="498" t="s">
        <v>507</v>
      </c>
      <c r="B220" s="499"/>
      <c r="C220" s="499"/>
      <c r="D220" s="499"/>
      <c r="E220" s="500"/>
      <c r="F220" s="501"/>
      <c r="G220" s="9"/>
      <c r="H220" s="189">
        <f>SUM(H221:H228)</f>
        <v>0</v>
      </c>
      <c r="I220" s="4"/>
    </row>
    <row r="221" spans="1:10" ht="16.05" customHeight="1" thickTop="1" thickBot="1" x14ac:dyDescent="0.25">
      <c r="A221" s="375"/>
      <c r="B221" s="369">
        <v>150211</v>
      </c>
      <c r="C221" s="376" t="s">
        <v>74</v>
      </c>
      <c r="D221" s="369" t="s">
        <v>81</v>
      </c>
      <c r="E221" s="377"/>
      <c r="F221" s="378">
        <v>6</v>
      </c>
      <c r="G221" s="280">
        <f>E221*F221</f>
        <v>0</v>
      </c>
      <c r="H221" s="189">
        <f t="shared" ref="H221:H228" si="38">E221</f>
        <v>0</v>
      </c>
      <c r="I221" s="4"/>
    </row>
    <row r="222" spans="1:10" ht="16.05" customHeight="1" thickBot="1" x14ac:dyDescent="0.25">
      <c r="A222" s="379"/>
      <c r="B222" s="356">
        <v>150217</v>
      </c>
      <c r="C222" s="353" t="s">
        <v>75</v>
      </c>
      <c r="D222" s="221" t="s">
        <v>81</v>
      </c>
      <c r="E222" s="354"/>
      <c r="F222" s="355">
        <v>6</v>
      </c>
      <c r="G222" s="282">
        <f t="shared" ref="G222:G228" si="39">E222*F222</f>
        <v>0</v>
      </c>
      <c r="H222" s="189">
        <f t="shared" si="38"/>
        <v>0</v>
      </c>
      <c r="I222" s="4"/>
    </row>
    <row r="223" spans="1:10" ht="16.05" customHeight="1" thickBot="1" x14ac:dyDescent="0.25">
      <c r="A223" s="379"/>
      <c r="B223" s="357">
        <v>151020</v>
      </c>
      <c r="C223" s="353" t="s">
        <v>38</v>
      </c>
      <c r="D223" s="221" t="s">
        <v>81</v>
      </c>
      <c r="E223" s="354"/>
      <c r="F223" s="358">
        <v>7</v>
      </c>
      <c r="G223" s="282">
        <f t="shared" si="39"/>
        <v>0</v>
      </c>
      <c r="H223" s="189">
        <f t="shared" si="38"/>
        <v>0</v>
      </c>
      <c r="I223" s="4"/>
    </row>
    <row r="224" spans="1:10" ht="16.05" customHeight="1" thickBot="1" x14ac:dyDescent="0.25">
      <c r="A224" s="379"/>
      <c r="B224" s="357">
        <v>159000</v>
      </c>
      <c r="C224" s="353" t="s">
        <v>76</v>
      </c>
      <c r="D224" s="221" t="s">
        <v>81</v>
      </c>
      <c r="E224" s="354"/>
      <c r="F224" s="358">
        <v>7</v>
      </c>
      <c r="G224" s="282">
        <f t="shared" si="39"/>
        <v>0</v>
      </c>
      <c r="H224" s="189">
        <f t="shared" si="38"/>
        <v>0</v>
      </c>
      <c r="I224" s="4"/>
    </row>
    <row r="225" spans="1:12" ht="16.05" customHeight="1" thickBot="1" x14ac:dyDescent="0.25">
      <c r="A225" s="379"/>
      <c r="B225" s="357">
        <v>159555</v>
      </c>
      <c r="C225" s="353" t="s">
        <v>77</v>
      </c>
      <c r="D225" s="221" t="s">
        <v>81</v>
      </c>
      <c r="E225" s="354"/>
      <c r="F225" s="358">
        <v>8</v>
      </c>
      <c r="G225" s="282">
        <f t="shared" si="39"/>
        <v>0</v>
      </c>
      <c r="H225" s="189">
        <f t="shared" si="38"/>
        <v>0</v>
      </c>
      <c r="I225" s="4"/>
    </row>
    <row r="226" spans="1:12" ht="16.05" customHeight="1" thickBot="1" x14ac:dyDescent="0.25">
      <c r="A226" s="379"/>
      <c r="B226" s="357">
        <v>159565</v>
      </c>
      <c r="C226" s="353" t="s">
        <v>78</v>
      </c>
      <c r="D226" s="221" t="s">
        <v>81</v>
      </c>
      <c r="E226" s="354"/>
      <c r="F226" s="358">
        <v>8</v>
      </c>
      <c r="G226" s="282">
        <f t="shared" si="39"/>
        <v>0</v>
      </c>
      <c r="H226" s="189">
        <f t="shared" si="38"/>
        <v>0</v>
      </c>
      <c r="I226" s="4"/>
    </row>
    <row r="227" spans="1:12" ht="16.05" customHeight="1" thickBot="1" x14ac:dyDescent="0.25">
      <c r="A227" s="379"/>
      <c r="B227" s="357">
        <v>151025</v>
      </c>
      <c r="C227" s="353" t="s">
        <v>79</v>
      </c>
      <c r="D227" s="221" t="s">
        <v>81</v>
      </c>
      <c r="E227" s="354"/>
      <c r="F227" s="358">
        <v>7</v>
      </c>
      <c r="G227" s="282">
        <f t="shared" si="39"/>
        <v>0</v>
      </c>
      <c r="H227" s="189">
        <f t="shared" si="38"/>
        <v>0</v>
      </c>
      <c r="I227" s="4"/>
    </row>
    <row r="228" spans="1:12" ht="16.05" customHeight="1" thickBot="1" x14ac:dyDescent="0.25">
      <c r="A228" s="380"/>
      <c r="B228" s="381">
        <v>151033</v>
      </c>
      <c r="C228" s="382" t="s">
        <v>80</v>
      </c>
      <c r="D228" s="372" t="s">
        <v>81</v>
      </c>
      <c r="E228" s="383"/>
      <c r="F228" s="384">
        <v>7</v>
      </c>
      <c r="G228" s="287">
        <f t="shared" si="39"/>
        <v>0</v>
      </c>
      <c r="H228" s="189">
        <f t="shared" si="38"/>
        <v>0</v>
      </c>
      <c r="I228" s="4"/>
    </row>
    <row r="229" spans="1:12" ht="16.5" customHeight="1" thickTop="1" thickBot="1" x14ac:dyDescent="0.25">
      <c r="A229" s="255" t="s">
        <v>250</v>
      </c>
      <c r="B229" s="565"/>
      <c r="C229" s="565"/>
      <c r="D229" s="565"/>
      <c r="E229" s="570"/>
      <c r="F229" s="566"/>
      <c r="G229" s="330"/>
      <c r="H229" s="189">
        <f>SUM(H230:H233)</f>
        <v>0</v>
      </c>
      <c r="I229" s="4"/>
      <c r="L229" s="192"/>
    </row>
    <row r="230" spans="1:12" ht="16.05" customHeight="1" thickTop="1" thickBot="1" x14ac:dyDescent="0.25">
      <c r="A230" s="276"/>
      <c r="B230" s="385">
        <v>160100</v>
      </c>
      <c r="C230" s="386" t="s">
        <v>71</v>
      </c>
      <c r="D230" s="387" t="s">
        <v>10</v>
      </c>
      <c r="E230" s="610"/>
      <c r="F230" s="394">
        <v>13</v>
      </c>
      <c r="G230" s="280">
        <v>0</v>
      </c>
      <c r="H230" s="18">
        <f t="shared" ref="H230:H233" si="40">E230</f>
        <v>0</v>
      </c>
      <c r="I230" s="4"/>
      <c r="L230" s="192"/>
    </row>
    <row r="231" spans="1:12" ht="16.05" customHeight="1" thickBot="1" x14ac:dyDescent="0.25">
      <c r="A231" s="388"/>
      <c r="B231" s="359">
        <v>160108</v>
      </c>
      <c r="C231" s="360" t="s">
        <v>509</v>
      </c>
      <c r="D231" s="193" t="s">
        <v>83</v>
      </c>
      <c r="E231" s="611"/>
      <c r="F231" s="415">
        <v>14</v>
      </c>
      <c r="G231" s="389">
        <f t="shared" ref="G231" si="41">E231*F231</f>
        <v>0</v>
      </c>
      <c r="H231" s="18">
        <f t="shared" si="40"/>
        <v>0</v>
      </c>
      <c r="I231" s="4"/>
      <c r="L231" s="192"/>
    </row>
    <row r="232" spans="1:12" ht="16.05" customHeight="1" thickBot="1" x14ac:dyDescent="0.25">
      <c r="A232" s="281"/>
      <c r="B232" s="361">
        <v>720310</v>
      </c>
      <c r="C232" s="362" t="s">
        <v>508</v>
      </c>
      <c r="D232" s="363" t="s">
        <v>10</v>
      </c>
      <c r="E232" s="612"/>
      <c r="F232" s="416">
        <v>17</v>
      </c>
      <c r="G232" s="282">
        <f>E232*F232</f>
        <v>0</v>
      </c>
      <c r="H232" s="18">
        <f t="shared" si="40"/>
        <v>0</v>
      </c>
      <c r="I232" s="4"/>
      <c r="L232" s="192"/>
    </row>
    <row r="233" spans="1:12" ht="18" customHeight="1" thickBot="1" x14ac:dyDescent="0.25">
      <c r="A233" s="366"/>
      <c r="B233" s="367">
        <v>720200</v>
      </c>
      <c r="C233" s="368" t="s">
        <v>60</v>
      </c>
      <c r="D233" s="367" t="s">
        <v>61</v>
      </c>
      <c r="E233" s="607"/>
      <c r="F233" s="419">
        <v>5</v>
      </c>
      <c r="G233" s="244">
        <f t="shared" ref="G233" si="42">E233*F233</f>
        <v>0</v>
      </c>
      <c r="H233" s="202">
        <f t="shared" si="40"/>
        <v>0</v>
      </c>
      <c r="I233" s="4"/>
    </row>
    <row r="234" spans="1:12" ht="16.05" customHeight="1" thickTop="1" thickBot="1" x14ac:dyDescent="0.25">
      <c r="A234" s="329" t="s">
        <v>56</v>
      </c>
      <c r="B234" s="569"/>
      <c r="C234" s="569"/>
      <c r="D234" s="569"/>
      <c r="E234" s="570"/>
      <c r="F234" s="571"/>
      <c r="G234" s="254"/>
      <c r="H234" s="189">
        <f>SUM(H235:H248)</f>
        <v>0</v>
      </c>
      <c r="I234" s="4"/>
    </row>
    <row r="235" spans="1:12" ht="16.05" customHeight="1" thickTop="1" thickBot="1" x14ac:dyDescent="0.25">
      <c r="A235" s="276"/>
      <c r="B235" s="390">
        <v>155001</v>
      </c>
      <c r="C235" s="370" t="s">
        <v>42</v>
      </c>
      <c r="D235" s="371" t="s">
        <v>10</v>
      </c>
      <c r="E235" s="371"/>
      <c r="F235" s="426">
        <v>34</v>
      </c>
      <c r="G235" s="280">
        <f t="shared" ref="G235:G248" si="43">E235*F235</f>
        <v>0</v>
      </c>
      <c r="H235" s="13">
        <f t="shared" ref="H235:H248" si="44">E235</f>
        <v>0</v>
      </c>
      <c r="I235" s="4"/>
    </row>
    <row r="236" spans="1:12" s="201" customFormat="1" ht="16.05" customHeight="1" thickBot="1" x14ac:dyDescent="0.25">
      <c r="A236" s="281"/>
      <c r="B236" s="364">
        <v>155002</v>
      </c>
      <c r="C236" s="222" t="s">
        <v>43</v>
      </c>
      <c r="D236" s="351" t="s">
        <v>10</v>
      </c>
      <c r="E236" s="351"/>
      <c r="F236" s="427">
        <v>35</v>
      </c>
      <c r="G236" s="282">
        <f t="shared" si="43"/>
        <v>0</v>
      </c>
      <c r="H236" s="13">
        <f t="shared" si="44"/>
        <v>0</v>
      </c>
      <c r="I236" s="4"/>
    </row>
    <row r="237" spans="1:12" s="201" customFormat="1" ht="16.05" customHeight="1" thickBot="1" x14ac:dyDescent="0.25">
      <c r="A237" s="281"/>
      <c r="B237" s="364">
        <v>155004</v>
      </c>
      <c r="C237" s="222" t="s">
        <v>44</v>
      </c>
      <c r="D237" s="351" t="s">
        <v>10</v>
      </c>
      <c r="E237" s="351"/>
      <c r="F237" s="427">
        <v>37</v>
      </c>
      <c r="G237" s="282">
        <f t="shared" si="43"/>
        <v>0</v>
      </c>
      <c r="H237" s="13">
        <f t="shared" si="44"/>
        <v>0</v>
      </c>
      <c r="I237" s="4"/>
    </row>
    <row r="238" spans="1:12" s="201" customFormat="1" ht="16.05" customHeight="1" thickBot="1" x14ac:dyDescent="0.25">
      <c r="A238" s="281"/>
      <c r="B238" s="364">
        <v>155006</v>
      </c>
      <c r="C238" s="222" t="s">
        <v>45</v>
      </c>
      <c r="D238" s="351" t="s">
        <v>10</v>
      </c>
      <c r="E238" s="351"/>
      <c r="F238" s="427">
        <v>41</v>
      </c>
      <c r="G238" s="282">
        <f t="shared" si="43"/>
        <v>0</v>
      </c>
      <c r="H238" s="13">
        <f t="shared" si="44"/>
        <v>0</v>
      </c>
      <c r="I238" s="4"/>
    </row>
    <row r="239" spans="1:12" s="201" customFormat="1" ht="16.05" customHeight="1" thickBot="1" x14ac:dyDescent="0.25">
      <c r="A239" s="281"/>
      <c r="B239" s="364">
        <v>155008</v>
      </c>
      <c r="C239" s="222" t="s">
        <v>46</v>
      </c>
      <c r="D239" s="351" t="s">
        <v>10</v>
      </c>
      <c r="E239" s="351"/>
      <c r="F239" s="427">
        <v>45</v>
      </c>
      <c r="G239" s="282">
        <f t="shared" si="43"/>
        <v>0</v>
      </c>
      <c r="H239" s="13">
        <f t="shared" si="44"/>
        <v>0</v>
      </c>
      <c r="I239" s="4"/>
    </row>
    <row r="240" spans="1:12" ht="16.05" customHeight="1" thickBot="1" x14ac:dyDescent="0.25">
      <c r="A240" s="281"/>
      <c r="B240" s="364">
        <v>155010</v>
      </c>
      <c r="C240" s="222" t="s">
        <v>47</v>
      </c>
      <c r="D240" s="351" t="s">
        <v>10</v>
      </c>
      <c r="E240" s="351"/>
      <c r="F240" s="427">
        <v>48</v>
      </c>
      <c r="G240" s="282">
        <f t="shared" si="43"/>
        <v>0</v>
      </c>
      <c r="H240" s="13">
        <f t="shared" si="44"/>
        <v>0</v>
      </c>
      <c r="I240" s="4"/>
    </row>
    <row r="241" spans="1:9" ht="16.05" customHeight="1" thickBot="1" x14ac:dyDescent="0.25">
      <c r="A241" s="281"/>
      <c r="B241" s="364">
        <v>155014</v>
      </c>
      <c r="C241" s="222" t="s">
        <v>48</v>
      </c>
      <c r="D241" s="351" t="s">
        <v>10</v>
      </c>
      <c r="E241" s="351"/>
      <c r="F241" s="427">
        <v>54</v>
      </c>
      <c r="G241" s="282">
        <f t="shared" si="43"/>
        <v>0</v>
      </c>
      <c r="H241" s="13">
        <f t="shared" si="44"/>
        <v>0</v>
      </c>
      <c r="I241" s="4"/>
    </row>
    <row r="242" spans="1:9" ht="16.05" customHeight="1" thickBot="1" x14ac:dyDescent="0.25">
      <c r="A242" s="281"/>
      <c r="B242" s="364">
        <v>155018</v>
      </c>
      <c r="C242" s="222" t="s">
        <v>49</v>
      </c>
      <c r="D242" s="351" t="s">
        <v>10</v>
      </c>
      <c r="E242" s="351"/>
      <c r="F242" s="427">
        <v>63</v>
      </c>
      <c r="G242" s="282">
        <f t="shared" si="43"/>
        <v>0</v>
      </c>
      <c r="H242" s="13">
        <f t="shared" si="44"/>
        <v>0</v>
      </c>
      <c r="I242" s="4"/>
    </row>
    <row r="243" spans="1:9" ht="16.05" customHeight="1" thickBot="1" x14ac:dyDescent="0.25">
      <c r="A243" s="281"/>
      <c r="B243" s="364">
        <v>155022</v>
      </c>
      <c r="C243" s="222" t="s">
        <v>50</v>
      </c>
      <c r="D243" s="351" t="s">
        <v>10</v>
      </c>
      <c r="E243" s="351"/>
      <c r="F243" s="427">
        <v>70</v>
      </c>
      <c r="G243" s="282">
        <f t="shared" si="43"/>
        <v>0</v>
      </c>
      <c r="H243" s="13">
        <f t="shared" si="44"/>
        <v>0</v>
      </c>
      <c r="I243" s="4"/>
    </row>
    <row r="244" spans="1:9" ht="16.05" customHeight="1" thickBot="1" x14ac:dyDescent="0.25">
      <c r="A244" s="281"/>
      <c r="B244" s="364">
        <v>155026</v>
      </c>
      <c r="C244" s="222" t="s">
        <v>51</v>
      </c>
      <c r="D244" s="351" t="s">
        <v>10</v>
      </c>
      <c r="E244" s="351"/>
      <c r="F244" s="427">
        <v>78</v>
      </c>
      <c r="G244" s="282">
        <f t="shared" si="43"/>
        <v>0</v>
      </c>
      <c r="H244" s="13">
        <f t="shared" si="44"/>
        <v>0</v>
      </c>
      <c r="I244" s="4"/>
    </row>
    <row r="245" spans="1:9" ht="16.05" customHeight="1" thickBot="1" x14ac:dyDescent="0.25">
      <c r="A245" s="281"/>
      <c r="B245" s="364">
        <v>155030</v>
      </c>
      <c r="C245" s="222" t="s">
        <v>52</v>
      </c>
      <c r="D245" s="351" t="s">
        <v>10</v>
      </c>
      <c r="E245" s="351"/>
      <c r="F245" s="427">
        <v>90</v>
      </c>
      <c r="G245" s="282">
        <f t="shared" si="43"/>
        <v>0</v>
      </c>
      <c r="H245" s="13">
        <f t="shared" si="44"/>
        <v>0</v>
      </c>
      <c r="I245" s="4"/>
    </row>
    <row r="246" spans="1:9" ht="16.05" customHeight="1" thickBot="1" x14ac:dyDescent="0.25">
      <c r="A246" s="281"/>
      <c r="B246" s="364">
        <v>155034</v>
      </c>
      <c r="C246" s="222" t="s">
        <v>53</v>
      </c>
      <c r="D246" s="351" t="s">
        <v>10</v>
      </c>
      <c r="E246" s="351"/>
      <c r="F246" s="427">
        <v>96</v>
      </c>
      <c r="G246" s="282">
        <f t="shared" si="43"/>
        <v>0</v>
      </c>
      <c r="H246" s="13">
        <f t="shared" si="44"/>
        <v>0</v>
      </c>
      <c r="I246" s="4"/>
    </row>
    <row r="247" spans="1:9" ht="16.05" customHeight="1" thickBot="1" x14ac:dyDescent="0.25">
      <c r="A247" s="281"/>
      <c r="B247" s="364">
        <v>155040</v>
      </c>
      <c r="C247" s="222" t="s">
        <v>54</v>
      </c>
      <c r="D247" s="351" t="s">
        <v>10</v>
      </c>
      <c r="E247" s="351"/>
      <c r="F247" s="427">
        <v>106</v>
      </c>
      <c r="G247" s="282">
        <f t="shared" si="43"/>
        <v>0</v>
      </c>
      <c r="H247" s="13">
        <f t="shared" si="44"/>
        <v>0</v>
      </c>
      <c r="I247" s="4"/>
    </row>
    <row r="248" spans="1:9" ht="16.05" customHeight="1" thickBot="1" x14ac:dyDescent="0.25">
      <c r="A248" s="283"/>
      <c r="B248" s="391">
        <v>155048</v>
      </c>
      <c r="C248" s="326" t="s">
        <v>55</v>
      </c>
      <c r="D248" s="373" t="s">
        <v>10</v>
      </c>
      <c r="E248" s="373"/>
      <c r="F248" s="428">
        <v>119</v>
      </c>
      <c r="G248" s="287">
        <f t="shared" si="43"/>
        <v>0</v>
      </c>
      <c r="H248" s="13">
        <f t="shared" si="44"/>
        <v>0</v>
      </c>
      <c r="I248" s="4"/>
    </row>
    <row r="249" spans="1:9" ht="16.05" customHeight="1" thickTop="1" thickBot="1" x14ac:dyDescent="0.25">
      <c r="A249" s="329" t="s">
        <v>251</v>
      </c>
      <c r="B249" s="569"/>
      <c r="C249" s="569"/>
      <c r="D249" s="569"/>
      <c r="E249" s="570"/>
      <c r="F249" s="571"/>
      <c r="G249" s="254"/>
      <c r="H249" s="47">
        <f>SUM(H250:H256)</f>
        <v>0</v>
      </c>
      <c r="I249" s="4"/>
    </row>
    <row r="250" spans="1:9" ht="16.05" customHeight="1" thickTop="1" thickBot="1" x14ac:dyDescent="0.25">
      <c r="A250" s="375"/>
      <c r="B250" s="369">
        <v>120309</v>
      </c>
      <c r="C250" s="370" t="s">
        <v>252</v>
      </c>
      <c r="D250" s="371" t="s">
        <v>10</v>
      </c>
      <c r="E250" s="377"/>
      <c r="F250" s="378">
        <v>35</v>
      </c>
      <c r="G250" s="280">
        <f>E250*F250</f>
        <v>0</v>
      </c>
      <c r="H250" s="189">
        <f t="shared" ref="H250:H256" si="45">E250</f>
        <v>0</v>
      </c>
      <c r="I250" s="4"/>
    </row>
    <row r="251" spans="1:9" ht="16.05" customHeight="1" thickBot="1" x14ac:dyDescent="0.25">
      <c r="A251" s="379"/>
      <c r="B251" s="221">
        <v>120459</v>
      </c>
      <c r="C251" s="222" t="s">
        <v>253</v>
      </c>
      <c r="D251" s="351" t="s">
        <v>10</v>
      </c>
      <c r="E251" s="354"/>
      <c r="F251" s="355">
        <v>45</v>
      </c>
      <c r="G251" s="282">
        <f t="shared" ref="G251:G256" si="46">E251*F251</f>
        <v>0</v>
      </c>
      <c r="H251" s="189">
        <f t="shared" si="45"/>
        <v>0</v>
      </c>
      <c r="I251" s="4"/>
    </row>
    <row r="252" spans="1:9" ht="16.05" customHeight="1" thickBot="1" x14ac:dyDescent="0.25">
      <c r="A252" s="379"/>
      <c r="B252" s="221">
        <v>120609</v>
      </c>
      <c r="C252" s="222" t="s">
        <v>254</v>
      </c>
      <c r="D252" s="351" t="s">
        <v>10</v>
      </c>
      <c r="E252" s="354"/>
      <c r="F252" s="358">
        <v>57</v>
      </c>
      <c r="G252" s="282">
        <f t="shared" si="46"/>
        <v>0</v>
      </c>
      <c r="H252" s="189">
        <f t="shared" si="45"/>
        <v>0</v>
      </c>
      <c r="I252" s="4"/>
    </row>
    <row r="253" spans="1:9" ht="16.05" customHeight="1" thickBot="1" x14ac:dyDescent="0.25">
      <c r="A253" s="379"/>
      <c r="B253" s="221">
        <v>120759</v>
      </c>
      <c r="C253" s="222" t="s">
        <v>255</v>
      </c>
      <c r="D253" s="351" t="s">
        <v>10</v>
      </c>
      <c r="E253" s="354"/>
      <c r="F253" s="358">
        <v>67</v>
      </c>
      <c r="G253" s="282">
        <f t="shared" si="46"/>
        <v>0</v>
      </c>
      <c r="H253" s="189">
        <f t="shared" si="45"/>
        <v>0</v>
      </c>
      <c r="I253" s="4"/>
    </row>
    <row r="254" spans="1:9" ht="16.05" customHeight="1" thickBot="1" x14ac:dyDescent="0.25">
      <c r="A254" s="379"/>
      <c r="B254" s="221">
        <v>120909</v>
      </c>
      <c r="C254" s="222" t="s">
        <v>256</v>
      </c>
      <c r="D254" s="351" t="s">
        <v>10</v>
      </c>
      <c r="E254" s="354"/>
      <c r="F254" s="358">
        <v>74</v>
      </c>
      <c r="G254" s="282">
        <f t="shared" si="46"/>
        <v>0</v>
      </c>
      <c r="H254" s="189">
        <f t="shared" si="45"/>
        <v>0</v>
      </c>
      <c r="I254" s="4"/>
    </row>
    <row r="255" spans="1:9" ht="16.05" customHeight="1" thickBot="1" x14ac:dyDescent="0.25">
      <c r="A255" s="379"/>
      <c r="B255" s="221">
        <v>121209</v>
      </c>
      <c r="C255" s="222" t="s">
        <v>257</v>
      </c>
      <c r="D255" s="351" t="s">
        <v>10</v>
      </c>
      <c r="E255" s="354"/>
      <c r="F255" s="358">
        <v>99</v>
      </c>
      <c r="G255" s="282">
        <f t="shared" si="46"/>
        <v>0</v>
      </c>
      <c r="H255" s="189">
        <f t="shared" si="45"/>
        <v>0</v>
      </c>
      <c r="I255" s="4"/>
    </row>
    <row r="256" spans="1:9" ht="16.05" customHeight="1" thickBot="1" x14ac:dyDescent="0.25">
      <c r="A256" s="380"/>
      <c r="B256" s="372">
        <v>121509</v>
      </c>
      <c r="C256" s="326" t="s">
        <v>258</v>
      </c>
      <c r="D256" s="373" t="s">
        <v>10</v>
      </c>
      <c r="E256" s="383"/>
      <c r="F256" s="384">
        <v>123</v>
      </c>
      <c r="G256" s="287">
        <f t="shared" si="46"/>
        <v>0</v>
      </c>
      <c r="H256" s="189">
        <f t="shared" si="45"/>
        <v>0</v>
      </c>
      <c r="I256" s="4"/>
    </row>
    <row r="257" spans="1:14" customFormat="1" ht="16.05" customHeight="1" thickTop="1" thickBot="1" x14ac:dyDescent="0.35">
      <c r="A257" s="331" t="s">
        <v>411</v>
      </c>
      <c r="B257" s="332"/>
      <c r="C257" s="332"/>
      <c r="D257" s="332"/>
      <c r="E257" s="613"/>
      <c r="F257" s="429"/>
      <c r="G257" s="333"/>
      <c r="H257" s="206">
        <f>SUM(H258)</f>
        <v>0</v>
      </c>
      <c r="I257" s="4"/>
      <c r="J257" s="22"/>
      <c r="K257" s="22"/>
      <c r="L257" s="22"/>
      <c r="M257" s="22"/>
      <c r="N257" s="22"/>
    </row>
    <row r="258" spans="1:14" customFormat="1" ht="29.55" customHeight="1" thickTop="1" thickBot="1" x14ac:dyDescent="0.35">
      <c r="A258" s="207"/>
      <c r="B258" s="208" t="s">
        <v>259</v>
      </c>
      <c r="C258" s="191" t="s">
        <v>260</v>
      </c>
      <c r="D258" s="208" t="s">
        <v>83</v>
      </c>
      <c r="E258" s="208"/>
      <c r="F258" s="430">
        <v>151</v>
      </c>
      <c r="G258" s="228">
        <f>E258*F258</f>
        <v>0</v>
      </c>
      <c r="H258" s="209">
        <f>E258</f>
        <v>0</v>
      </c>
      <c r="I258" s="4"/>
      <c r="J258" s="22"/>
      <c r="K258" s="22"/>
      <c r="L258" s="22"/>
      <c r="M258" s="22"/>
      <c r="N258" s="22"/>
    </row>
    <row r="259" spans="1:14" customFormat="1" ht="16.05" customHeight="1" thickTop="1" thickBot="1" x14ac:dyDescent="0.35">
      <c r="A259" s="234" t="s">
        <v>412</v>
      </c>
      <c r="B259" s="235"/>
      <c r="C259" s="235"/>
      <c r="D259" s="235"/>
      <c r="E259" s="614"/>
      <c r="F259" s="431"/>
      <c r="G259" s="233"/>
      <c r="H259" s="209">
        <f>SUM(H260:H261)</f>
        <v>0</v>
      </c>
      <c r="I259" s="4"/>
      <c r="J259" s="22"/>
      <c r="K259" s="22"/>
      <c r="L259" s="22"/>
      <c r="M259" s="22"/>
      <c r="N259" s="22"/>
    </row>
    <row r="260" spans="1:14" customFormat="1" ht="28.05" customHeight="1" thickTop="1" thickBot="1" x14ac:dyDescent="0.35">
      <c r="A260" s="210"/>
      <c r="B260" s="211" t="s">
        <v>261</v>
      </c>
      <c r="C260" s="212" t="s">
        <v>262</v>
      </c>
      <c r="D260" s="211" t="s">
        <v>83</v>
      </c>
      <c r="E260" s="211"/>
      <c r="F260" s="432">
        <v>104</v>
      </c>
      <c r="G260" s="229">
        <f t="shared" ref="G260:G351" si="47">E260*F260</f>
        <v>0</v>
      </c>
      <c r="H260" s="209">
        <f t="shared" ref="H260:H331" si="48">E260</f>
        <v>0</v>
      </c>
      <c r="I260" s="4"/>
      <c r="J260" s="22"/>
      <c r="K260" s="22"/>
      <c r="L260" s="22"/>
      <c r="M260" s="22"/>
      <c r="N260" s="22"/>
    </row>
    <row r="261" spans="1:14" customFormat="1" ht="28.05" customHeight="1" thickBot="1" x14ac:dyDescent="0.35">
      <c r="A261" s="207"/>
      <c r="B261" s="208" t="s">
        <v>263</v>
      </c>
      <c r="C261" s="191" t="s">
        <v>264</v>
      </c>
      <c r="D261" s="208" t="s">
        <v>10</v>
      </c>
      <c r="E261" s="208"/>
      <c r="F261" s="430">
        <v>3.6</v>
      </c>
      <c r="G261" s="228">
        <f t="shared" si="47"/>
        <v>0</v>
      </c>
      <c r="H261" s="209">
        <f t="shared" si="48"/>
        <v>0</v>
      </c>
      <c r="I261" s="4"/>
      <c r="J261" s="22"/>
      <c r="K261" s="22"/>
      <c r="L261" s="22"/>
      <c r="M261" s="22"/>
      <c r="N261" s="22"/>
    </row>
    <row r="262" spans="1:14" customFormat="1" ht="16.05" customHeight="1" thickTop="1" thickBot="1" x14ac:dyDescent="0.35">
      <c r="A262" s="231" t="s">
        <v>265</v>
      </c>
      <c r="B262" s="232"/>
      <c r="C262" s="232"/>
      <c r="D262" s="232"/>
      <c r="E262" s="615"/>
      <c r="F262" s="433"/>
      <c r="G262" s="233"/>
      <c r="H262" s="209">
        <f>SUM(H263:H265)</f>
        <v>0</v>
      </c>
      <c r="I262" s="4"/>
      <c r="J262" s="22"/>
      <c r="K262" s="22"/>
      <c r="L262" s="22"/>
      <c r="M262" s="22"/>
      <c r="N262" s="22"/>
    </row>
    <row r="263" spans="1:14" customFormat="1" ht="28.05" customHeight="1" thickTop="1" thickBot="1" x14ac:dyDescent="0.35">
      <c r="A263" s="210"/>
      <c r="B263" s="211" t="s">
        <v>266</v>
      </c>
      <c r="C263" s="212" t="s">
        <v>424</v>
      </c>
      <c r="D263" s="211" t="s">
        <v>10</v>
      </c>
      <c r="E263" s="213"/>
      <c r="F263" s="432">
        <v>21</v>
      </c>
      <c r="G263" s="229">
        <f t="shared" ref="G263:G265" si="49">E263*F263</f>
        <v>0</v>
      </c>
      <c r="H263" s="209">
        <f t="shared" ref="H263:H265" si="50">E263</f>
        <v>0</v>
      </c>
      <c r="I263" s="4"/>
      <c r="J263" s="22"/>
      <c r="K263" s="22"/>
      <c r="L263" s="22"/>
      <c r="M263" s="22"/>
      <c r="N263" s="22"/>
    </row>
    <row r="264" spans="1:14" customFormat="1" ht="28.05" customHeight="1" thickBot="1" x14ac:dyDescent="0.35">
      <c r="A264" s="210"/>
      <c r="B264" s="211" t="s">
        <v>267</v>
      </c>
      <c r="C264" s="212" t="s">
        <v>425</v>
      </c>
      <c r="D264" s="211" t="s">
        <v>10</v>
      </c>
      <c r="E264" s="213"/>
      <c r="F264" s="432">
        <v>42</v>
      </c>
      <c r="G264" s="229">
        <f t="shared" si="49"/>
        <v>0</v>
      </c>
      <c r="H264" s="209">
        <f t="shared" si="50"/>
        <v>0</v>
      </c>
      <c r="I264" s="4"/>
      <c r="J264" s="22"/>
      <c r="K264" s="22"/>
      <c r="L264" s="22"/>
      <c r="M264" s="22"/>
      <c r="N264" s="22"/>
    </row>
    <row r="265" spans="1:14" customFormat="1" ht="28.05" customHeight="1" thickBot="1" x14ac:dyDescent="0.35">
      <c r="A265" s="210"/>
      <c r="B265" s="211" t="s">
        <v>268</v>
      </c>
      <c r="C265" s="212" t="s">
        <v>426</v>
      </c>
      <c r="D265" s="211" t="s">
        <v>10</v>
      </c>
      <c r="E265" s="213"/>
      <c r="F265" s="432">
        <v>36</v>
      </c>
      <c r="G265" s="229">
        <f t="shared" si="49"/>
        <v>0</v>
      </c>
      <c r="H265" s="209">
        <f t="shared" si="50"/>
        <v>0</v>
      </c>
      <c r="I265" s="4"/>
      <c r="J265" s="22"/>
      <c r="K265" s="22"/>
      <c r="L265" s="22"/>
      <c r="M265" s="22"/>
      <c r="N265" s="22"/>
    </row>
    <row r="266" spans="1:14" customFormat="1" ht="16.05" customHeight="1" thickTop="1" thickBot="1" x14ac:dyDescent="0.35">
      <c r="A266" s="231" t="s">
        <v>269</v>
      </c>
      <c r="B266" s="232"/>
      <c r="C266" s="232"/>
      <c r="D266" s="232"/>
      <c r="E266" s="615"/>
      <c r="F266" s="433"/>
      <c r="G266" s="233"/>
      <c r="H266" s="209">
        <f>SUM(H267:H273)</f>
        <v>0</v>
      </c>
      <c r="I266" s="4"/>
      <c r="J266" s="214"/>
      <c r="K266" s="214"/>
      <c r="L266" s="214"/>
      <c r="M266" s="22"/>
      <c r="N266" s="22"/>
    </row>
    <row r="267" spans="1:14" customFormat="1" ht="28.05" customHeight="1" thickTop="1" thickBot="1" x14ac:dyDescent="0.35">
      <c r="A267" s="210"/>
      <c r="B267" s="211" t="s">
        <v>270</v>
      </c>
      <c r="C267" s="212" t="s">
        <v>271</v>
      </c>
      <c r="D267" s="211" t="s">
        <v>83</v>
      </c>
      <c r="E267" s="211"/>
      <c r="F267" s="432">
        <v>40</v>
      </c>
      <c r="G267" s="229">
        <f t="shared" ref="G267" si="51">E267*F267</f>
        <v>0</v>
      </c>
      <c r="H267" s="209">
        <f t="shared" si="48"/>
        <v>0</v>
      </c>
      <c r="I267" s="4"/>
      <c r="J267" s="214"/>
      <c r="K267" s="214"/>
      <c r="L267" s="214"/>
      <c r="M267" s="22"/>
      <c r="N267" s="22"/>
    </row>
    <row r="268" spans="1:14" customFormat="1" ht="28.05" customHeight="1" thickBot="1" x14ac:dyDescent="0.35">
      <c r="A268" s="210"/>
      <c r="B268" s="211" t="s">
        <v>272</v>
      </c>
      <c r="C268" s="212" t="s">
        <v>273</v>
      </c>
      <c r="D268" s="211" t="s">
        <v>83</v>
      </c>
      <c r="E268" s="211"/>
      <c r="F268" s="432">
        <v>62</v>
      </c>
      <c r="G268" s="229">
        <f t="shared" si="47"/>
        <v>0</v>
      </c>
      <c r="H268" s="209">
        <f t="shared" si="48"/>
        <v>0</v>
      </c>
      <c r="I268" s="4"/>
      <c r="J268" s="214"/>
      <c r="K268" s="214"/>
      <c r="L268" s="214"/>
      <c r="M268" s="22"/>
      <c r="N268" s="22"/>
    </row>
    <row r="269" spans="1:14" customFormat="1" ht="16.05" customHeight="1" thickBot="1" x14ac:dyDescent="0.35">
      <c r="A269" s="210"/>
      <c r="B269" s="211">
        <v>630112</v>
      </c>
      <c r="C269" s="212" t="s">
        <v>612</v>
      </c>
      <c r="D269" s="196" t="s">
        <v>83</v>
      </c>
      <c r="E269" s="211"/>
      <c r="F269" s="432">
        <v>81</v>
      </c>
      <c r="G269" s="229">
        <f t="shared" si="47"/>
        <v>0</v>
      </c>
      <c r="H269" s="209">
        <f t="shared" si="48"/>
        <v>0</v>
      </c>
      <c r="I269" s="4"/>
      <c r="J269" s="214"/>
      <c r="K269" s="214"/>
      <c r="L269" s="214"/>
      <c r="M269" s="22"/>
      <c r="N269" s="22"/>
    </row>
    <row r="270" spans="1:14" customFormat="1" ht="16.05" customHeight="1" thickBot="1" x14ac:dyDescent="0.35">
      <c r="A270" s="210"/>
      <c r="B270" s="211">
        <v>630113</v>
      </c>
      <c r="C270" s="212" t="s">
        <v>611</v>
      </c>
      <c r="D270" s="196" t="s">
        <v>83</v>
      </c>
      <c r="E270" s="211"/>
      <c r="F270" s="432">
        <v>123</v>
      </c>
      <c r="G270" s="229">
        <f t="shared" si="47"/>
        <v>0</v>
      </c>
      <c r="H270" s="209">
        <f t="shared" si="48"/>
        <v>0</v>
      </c>
      <c r="I270" s="4"/>
      <c r="J270" s="22"/>
      <c r="K270" s="22"/>
      <c r="L270" s="22"/>
      <c r="M270" s="22"/>
      <c r="N270" s="22"/>
    </row>
    <row r="271" spans="1:14" customFormat="1" ht="16.05" customHeight="1" thickBot="1" x14ac:dyDescent="0.35">
      <c r="A271" s="210"/>
      <c r="B271" s="211">
        <v>92252</v>
      </c>
      <c r="C271" s="212" t="s">
        <v>274</v>
      </c>
      <c r="D271" s="196" t="s">
        <v>61</v>
      </c>
      <c r="E271" s="211"/>
      <c r="F271" s="432">
        <v>71</v>
      </c>
      <c r="G271" s="229">
        <f t="shared" si="47"/>
        <v>0</v>
      </c>
      <c r="H271" s="209">
        <f t="shared" si="48"/>
        <v>0</v>
      </c>
      <c r="I271" s="4"/>
      <c r="J271" s="22"/>
      <c r="K271" s="22"/>
      <c r="L271" s="22"/>
      <c r="M271" s="22"/>
      <c r="N271" s="22"/>
    </row>
    <row r="272" spans="1:14" customFormat="1" ht="16.05" customHeight="1" thickBot="1" x14ac:dyDescent="0.35">
      <c r="A272" s="210"/>
      <c r="B272" s="211" t="s">
        <v>510</v>
      </c>
      <c r="C272" s="212" t="s">
        <v>275</v>
      </c>
      <c r="D272" s="196" t="s">
        <v>234</v>
      </c>
      <c r="E272" s="211"/>
      <c r="F272" s="432">
        <v>5</v>
      </c>
      <c r="G272" s="229">
        <f t="shared" si="47"/>
        <v>0</v>
      </c>
      <c r="H272" s="209">
        <f t="shared" si="48"/>
        <v>0</v>
      </c>
      <c r="I272" s="4"/>
      <c r="J272" s="22"/>
      <c r="K272" s="22"/>
      <c r="L272" s="22"/>
      <c r="M272" s="22"/>
      <c r="N272" s="22"/>
    </row>
    <row r="273" spans="1:14" customFormat="1" ht="16.05" customHeight="1" thickBot="1" x14ac:dyDescent="0.35">
      <c r="A273" s="207"/>
      <c r="B273" s="208" t="s">
        <v>276</v>
      </c>
      <c r="C273" s="191" t="s">
        <v>277</v>
      </c>
      <c r="D273" s="195" t="s">
        <v>10</v>
      </c>
      <c r="E273" s="208"/>
      <c r="F273" s="430">
        <v>10</v>
      </c>
      <c r="G273" s="228">
        <f t="shared" si="47"/>
        <v>0</v>
      </c>
      <c r="H273" s="209">
        <f t="shared" si="48"/>
        <v>0</v>
      </c>
      <c r="I273" s="4"/>
      <c r="J273" s="22"/>
      <c r="K273" s="22"/>
      <c r="L273" s="22"/>
      <c r="M273" s="22"/>
      <c r="N273" s="22"/>
    </row>
    <row r="274" spans="1:14" customFormat="1" ht="16.05" customHeight="1" thickTop="1" thickBot="1" x14ac:dyDescent="0.35">
      <c r="A274" s="231" t="s">
        <v>278</v>
      </c>
      <c r="B274" s="232"/>
      <c r="C274" s="232"/>
      <c r="D274" s="232"/>
      <c r="E274" s="615"/>
      <c r="F274" s="433"/>
      <c r="G274" s="233"/>
      <c r="H274" s="209">
        <f>SUM(H275:H277)</f>
        <v>0</v>
      </c>
      <c r="I274" s="4"/>
      <c r="J274" s="22"/>
      <c r="K274" s="22"/>
      <c r="L274" s="22"/>
      <c r="M274" s="22"/>
      <c r="N274" s="22"/>
    </row>
    <row r="275" spans="1:14" customFormat="1" ht="28.05" customHeight="1" thickTop="1" thickBot="1" x14ac:dyDescent="0.35">
      <c r="A275" s="210"/>
      <c r="B275" s="211" t="s">
        <v>279</v>
      </c>
      <c r="C275" s="212" t="s">
        <v>280</v>
      </c>
      <c r="D275" s="211" t="s">
        <v>61</v>
      </c>
      <c r="E275" s="211"/>
      <c r="F275" s="432">
        <v>42</v>
      </c>
      <c r="G275" s="229">
        <f>E275*F275</f>
        <v>0</v>
      </c>
      <c r="H275" s="209">
        <f t="shared" si="48"/>
        <v>0</v>
      </c>
      <c r="I275" s="4"/>
      <c r="J275" s="22"/>
      <c r="K275" s="22"/>
      <c r="L275" s="22"/>
      <c r="M275" s="22"/>
      <c r="N275" s="22"/>
    </row>
    <row r="276" spans="1:14" customFormat="1" ht="28.05" customHeight="1" thickBot="1" x14ac:dyDescent="0.35">
      <c r="A276" s="210"/>
      <c r="B276" s="211" t="s">
        <v>236</v>
      </c>
      <c r="C276" s="212" t="s">
        <v>281</v>
      </c>
      <c r="D276" s="211" t="s">
        <v>61</v>
      </c>
      <c r="E276" s="211"/>
      <c r="F276" s="432">
        <v>50</v>
      </c>
      <c r="G276" s="229">
        <f t="shared" ref="G276:G277" si="52">E276*F276</f>
        <v>0</v>
      </c>
      <c r="H276" s="209">
        <f t="shared" si="48"/>
        <v>0</v>
      </c>
      <c r="I276" s="4"/>
      <c r="J276" s="22"/>
      <c r="K276" s="22"/>
      <c r="L276" s="22"/>
      <c r="M276" s="22"/>
      <c r="N276" s="22"/>
    </row>
    <row r="277" spans="1:14" customFormat="1" ht="28.05" customHeight="1" thickBot="1" x14ac:dyDescent="0.35">
      <c r="A277" s="210"/>
      <c r="B277" s="211" t="s">
        <v>282</v>
      </c>
      <c r="C277" s="212" t="s">
        <v>283</v>
      </c>
      <c r="D277" s="211" t="s">
        <v>61</v>
      </c>
      <c r="E277" s="211"/>
      <c r="F277" s="432">
        <v>119</v>
      </c>
      <c r="G277" s="229">
        <f t="shared" si="52"/>
        <v>0</v>
      </c>
      <c r="H277" s="209">
        <f t="shared" si="48"/>
        <v>0</v>
      </c>
      <c r="I277" s="4"/>
      <c r="J277" s="22"/>
      <c r="K277" s="22"/>
      <c r="L277" s="22"/>
      <c r="M277" s="22"/>
      <c r="N277" s="22"/>
    </row>
    <row r="278" spans="1:14" customFormat="1" ht="16.05" customHeight="1" thickTop="1" thickBot="1" x14ac:dyDescent="0.35">
      <c r="A278" s="231" t="s">
        <v>284</v>
      </c>
      <c r="B278" s="232"/>
      <c r="C278" s="232"/>
      <c r="D278" s="232"/>
      <c r="E278" s="615"/>
      <c r="F278" s="433"/>
      <c r="G278" s="233"/>
      <c r="H278" s="209">
        <f>SUM(H279:H282)</f>
        <v>0</v>
      </c>
      <c r="I278" s="4"/>
      <c r="J278" s="22"/>
      <c r="K278" s="22"/>
      <c r="L278" s="22"/>
      <c r="M278" s="22"/>
      <c r="N278" s="22"/>
    </row>
    <row r="279" spans="1:14" customFormat="1" ht="16.05" customHeight="1" thickTop="1" thickBot="1" x14ac:dyDescent="0.35">
      <c r="A279" s="210"/>
      <c r="B279" s="211" t="s">
        <v>285</v>
      </c>
      <c r="C279" s="212" t="s">
        <v>286</v>
      </c>
      <c r="D279" s="211" t="s">
        <v>234</v>
      </c>
      <c r="E279" s="213"/>
      <c r="F279" s="432">
        <v>5</v>
      </c>
      <c r="G279" s="229">
        <f t="shared" ref="G279" si="53">E279*F279</f>
        <v>0</v>
      </c>
      <c r="H279" s="209">
        <f t="shared" ref="H279" si="54">E279</f>
        <v>0</v>
      </c>
      <c r="I279" s="4"/>
      <c r="J279" s="22"/>
      <c r="K279" s="22"/>
      <c r="L279" s="22"/>
      <c r="M279" s="22"/>
      <c r="N279" s="22"/>
    </row>
    <row r="280" spans="1:14" customFormat="1" ht="16.05" customHeight="1" thickBot="1" x14ac:dyDescent="0.35">
      <c r="A280" s="210"/>
      <c r="B280" s="211" t="s">
        <v>287</v>
      </c>
      <c r="C280" s="212" t="s">
        <v>511</v>
      </c>
      <c r="D280" s="211" t="s">
        <v>83</v>
      </c>
      <c r="E280" s="211"/>
      <c r="F280" s="432">
        <v>7</v>
      </c>
      <c r="G280" s="229">
        <f>E280*F280</f>
        <v>0</v>
      </c>
      <c r="H280" s="209">
        <f t="shared" si="48"/>
        <v>0</v>
      </c>
      <c r="I280" s="4"/>
      <c r="J280" s="22"/>
      <c r="K280" s="22"/>
      <c r="L280" s="22"/>
      <c r="M280" s="22"/>
      <c r="N280" s="22"/>
    </row>
    <row r="281" spans="1:14" customFormat="1" ht="16.05" customHeight="1" thickBot="1" x14ac:dyDescent="0.35">
      <c r="A281" s="210"/>
      <c r="B281" s="211" t="s">
        <v>288</v>
      </c>
      <c r="C281" s="212" t="s">
        <v>289</v>
      </c>
      <c r="D281" s="211" t="s">
        <v>10</v>
      </c>
      <c r="E281" s="211"/>
      <c r="F281" s="432">
        <v>158</v>
      </c>
      <c r="G281" s="229">
        <f t="shared" ref="G281" si="55">E281*F281</f>
        <v>0</v>
      </c>
      <c r="H281" s="209">
        <f t="shared" si="48"/>
        <v>0</v>
      </c>
      <c r="I281" s="4"/>
      <c r="J281" s="22"/>
      <c r="K281" s="22"/>
      <c r="L281" s="22"/>
      <c r="M281" s="22"/>
      <c r="N281" s="22"/>
    </row>
    <row r="282" spans="1:14" customFormat="1" ht="16.05" customHeight="1" thickBot="1" x14ac:dyDescent="0.35">
      <c r="A282" s="207"/>
      <c r="B282" s="208" t="s">
        <v>290</v>
      </c>
      <c r="C282" s="191" t="s">
        <v>512</v>
      </c>
      <c r="D282" s="208" t="s">
        <v>10</v>
      </c>
      <c r="E282" s="208"/>
      <c r="F282" s="430">
        <v>158</v>
      </c>
      <c r="G282" s="228">
        <f>E282*F282</f>
        <v>0</v>
      </c>
      <c r="H282" s="209">
        <f>E282</f>
        <v>0</v>
      </c>
      <c r="I282" s="4"/>
      <c r="J282" s="22"/>
      <c r="K282" s="22"/>
      <c r="L282" s="22"/>
      <c r="M282" s="22"/>
      <c r="N282" s="22"/>
    </row>
    <row r="283" spans="1:14" customFormat="1" ht="16.05" customHeight="1" thickTop="1" thickBot="1" x14ac:dyDescent="0.35">
      <c r="A283" s="231" t="s">
        <v>291</v>
      </c>
      <c r="B283" s="232"/>
      <c r="C283" s="232"/>
      <c r="D283" s="232"/>
      <c r="E283" s="615"/>
      <c r="F283" s="433"/>
      <c r="G283" s="233"/>
      <c r="H283" s="209">
        <f>SUM(H284)</f>
        <v>0</v>
      </c>
      <c r="I283" s="4"/>
      <c r="J283" s="22" t="s">
        <v>14</v>
      </c>
      <c r="K283" s="22"/>
      <c r="L283" s="22"/>
      <c r="M283" s="22"/>
      <c r="N283" s="22"/>
    </row>
    <row r="284" spans="1:14" customFormat="1" ht="28.05" customHeight="1" thickTop="1" thickBot="1" x14ac:dyDescent="0.35">
      <c r="A284" s="207"/>
      <c r="B284" s="208" t="s">
        <v>292</v>
      </c>
      <c r="C284" s="191" t="s">
        <v>293</v>
      </c>
      <c r="D284" s="208" t="s">
        <v>234</v>
      </c>
      <c r="E284" s="208"/>
      <c r="F284" s="430">
        <v>9</v>
      </c>
      <c r="G284" s="228">
        <f>E284*F284</f>
        <v>0</v>
      </c>
      <c r="H284" s="209">
        <f t="shared" si="48"/>
        <v>0</v>
      </c>
      <c r="I284" s="4"/>
      <c r="J284" s="22"/>
      <c r="K284" s="22"/>
      <c r="L284" s="22"/>
      <c r="M284" s="22"/>
      <c r="N284" s="22"/>
    </row>
    <row r="285" spans="1:14" customFormat="1" ht="16.05" customHeight="1" thickTop="1" thickBot="1" x14ac:dyDescent="0.35">
      <c r="A285" s="231" t="s">
        <v>294</v>
      </c>
      <c r="B285" s="232"/>
      <c r="C285" s="232"/>
      <c r="D285" s="232"/>
      <c r="E285" s="615"/>
      <c r="F285" s="433"/>
      <c r="G285" s="233"/>
      <c r="H285" s="209">
        <f>SUM(H286:H305)</f>
        <v>0</v>
      </c>
      <c r="I285" s="4"/>
      <c r="J285" s="22"/>
      <c r="K285" s="22"/>
      <c r="L285" s="22"/>
      <c r="M285" s="22"/>
      <c r="N285" s="22"/>
    </row>
    <row r="286" spans="1:14" customFormat="1" ht="16.05" customHeight="1" thickTop="1" thickBot="1" x14ac:dyDescent="0.35">
      <c r="A286" s="210"/>
      <c r="B286" s="211" t="s">
        <v>295</v>
      </c>
      <c r="C286" s="212" t="s">
        <v>296</v>
      </c>
      <c r="D286" s="211" t="s">
        <v>83</v>
      </c>
      <c r="E286" s="211"/>
      <c r="F286" s="432">
        <v>2</v>
      </c>
      <c r="G286" s="229">
        <f t="shared" ref="G286:G290" si="56">E286*F286</f>
        <v>0</v>
      </c>
      <c r="H286" s="209">
        <f t="shared" si="48"/>
        <v>0</v>
      </c>
      <c r="I286" s="4"/>
      <c r="J286" s="22"/>
      <c r="K286" s="22"/>
      <c r="L286" s="22"/>
      <c r="M286" s="22"/>
      <c r="N286" s="22"/>
    </row>
    <row r="287" spans="1:14" customFormat="1" ht="16.05" customHeight="1" thickBot="1" x14ac:dyDescent="0.35">
      <c r="A287" s="210"/>
      <c r="B287" s="211" t="s">
        <v>237</v>
      </c>
      <c r="C287" s="212" t="s">
        <v>297</v>
      </c>
      <c r="D287" s="196" t="s">
        <v>61</v>
      </c>
      <c r="E287" s="211"/>
      <c r="F287" s="432">
        <v>10</v>
      </c>
      <c r="G287" s="229">
        <f t="shared" si="56"/>
        <v>0</v>
      </c>
      <c r="H287" s="209">
        <f t="shared" si="48"/>
        <v>0</v>
      </c>
      <c r="I287" s="4"/>
      <c r="J287" s="22"/>
      <c r="K287" s="22"/>
      <c r="L287" s="22"/>
      <c r="M287" s="22"/>
      <c r="N287" s="22"/>
    </row>
    <row r="288" spans="1:14" customFormat="1" ht="16.05" customHeight="1" thickBot="1" x14ac:dyDescent="0.35">
      <c r="A288" s="210"/>
      <c r="B288" s="211" t="s">
        <v>298</v>
      </c>
      <c r="C288" s="212" t="s">
        <v>299</v>
      </c>
      <c r="D288" s="196" t="s">
        <v>10</v>
      </c>
      <c r="E288" s="211"/>
      <c r="F288" s="432">
        <v>4.7300000000000004</v>
      </c>
      <c r="G288" s="229">
        <f t="shared" si="56"/>
        <v>0</v>
      </c>
      <c r="H288" s="209">
        <f t="shared" si="48"/>
        <v>0</v>
      </c>
      <c r="I288" s="4"/>
      <c r="J288" s="22"/>
      <c r="K288" s="22"/>
      <c r="L288" s="22"/>
      <c r="M288" s="22"/>
      <c r="N288" s="22"/>
    </row>
    <row r="289" spans="1:14" customFormat="1" ht="16.05" customHeight="1" thickBot="1" x14ac:dyDescent="0.35">
      <c r="A289" s="210"/>
      <c r="B289" s="211" t="s">
        <v>300</v>
      </c>
      <c r="C289" s="212" t="s">
        <v>513</v>
      </c>
      <c r="D289" s="196" t="s">
        <v>10</v>
      </c>
      <c r="E289" s="211"/>
      <c r="F289" s="432">
        <v>165</v>
      </c>
      <c r="G289" s="229">
        <f t="shared" si="56"/>
        <v>0</v>
      </c>
      <c r="H289" s="209">
        <f t="shared" si="48"/>
        <v>0</v>
      </c>
      <c r="I289" s="4"/>
      <c r="J289" s="22"/>
      <c r="K289" s="22"/>
      <c r="L289" s="22"/>
      <c r="M289" s="22"/>
      <c r="N289" s="22"/>
    </row>
    <row r="290" spans="1:14" customFormat="1" ht="16.05" customHeight="1" thickBot="1" x14ac:dyDescent="0.35">
      <c r="A290" s="210"/>
      <c r="B290" s="215" t="s">
        <v>301</v>
      </c>
      <c r="C290" s="216" t="s">
        <v>302</v>
      </c>
      <c r="D290" s="217" t="s">
        <v>10</v>
      </c>
      <c r="E290" s="217"/>
      <c r="F290" s="434">
        <v>21</v>
      </c>
      <c r="G290" s="229">
        <f t="shared" si="56"/>
        <v>0</v>
      </c>
      <c r="H290" s="209">
        <f t="shared" si="48"/>
        <v>0</v>
      </c>
      <c r="I290" s="4"/>
      <c r="J290" s="22"/>
      <c r="K290" s="22"/>
      <c r="L290" s="22"/>
      <c r="M290" s="22"/>
      <c r="N290" s="22"/>
    </row>
    <row r="291" spans="1:14" customFormat="1" ht="16.05" customHeight="1" thickBot="1" x14ac:dyDescent="0.35">
      <c r="A291" s="218"/>
      <c r="B291" s="219" t="s">
        <v>303</v>
      </c>
      <c r="C291" s="212" t="s">
        <v>304</v>
      </c>
      <c r="D291" s="220" t="s">
        <v>61</v>
      </c>
      <c r="E291" s="219"/>
      <c r="F291" s="432">
        <v>39</v>
      </c>
      <c r="G291" s="229">
        <f t="shared" si="47"/>
        <v>0</v>
      </c>
      <c r="H291" s="209">
        <f t="shared" si="48"/>
        <v>0</v>
      </c>
      <c r="I291" s="4"/>
      <c r="J291" s="22"/>
      <c r="K291" s="22"/>
      <c r="L291" s="22"/>
      <c r="M291" s="22"/>
      <c r="N291" s="22"/>
    </row>
    <row r="292" spans="1:14" customFormat="1" ht="16.05" customHeight="1" thickBot="1" x14ac:dyDescent="0.35">
      <c r="A292" s="218"/>
      <c r="B292" s="219" t="s">
        <v>305</v>
      </c>
      <c r="C292" s="212" t="s">
        <v>306</v>
      </c>
      <c r="D292" s="220" t="s">
        <v>61</v>
      </c>
      <c r="E292" s="219"/>
      <c r="F292" s="432">
        <v>116</v>
      </c>
      <c r="G292" s="229">
        <f t="shared" si="47"/>
        <v>0</v>
      </c>
      <c r="H292" s="209">
        <f t="shared" si="48"/>
        <v>0</v>
      </c>
      <c r="I292" s="4"/>
      <c r="J292" s="22"/>
      <c r="K292" s="22"/>
      <c r="L292" s="22"/>
      <c r="M292" s="22"/>
      <c r="N292" s="22"/>
    </row>
    <row r="293" spans="1:14" customFormat="1" ht="16.05" customHeight="1" thickBot="1" x14ac:dyDescent="0.35">
      <c r="A293" s="210"/>
      <c r="B293" s="211" t="s">
        <v>307</v>
      </c>
      <c r="C293" s="212" t="s">
        <v>308</v>
      </c>
      <c r="D293" s="219" t="s">
        <v>61</v>
      </c>
      <c r="E293" s="211"/>
      <c r="F293" s="432">
        <v>52</v>
      </c>
      <c r="G293" s="229">
        <f t="shared" si="47"/>
        <v>0</v>
      </c>
      <c r="H293" s="209">
        <f t="shared" si="48"/>
        <v>0</v>
      </c>
      <c r="I293" s="4"/>
      <c r="J293" s="22"/>
      <c r="K293" s="22"/>
      <c r="L293" s="22"/>
      <c r="M293" s="22"/>
      <c r="N293" s="22"/>
    </row>
    <row r="294" spans="1:14" customFormat="1" ht="16.05" customHeight="1" thickBot="1" x14ac:dyDescent="0.35">
      <c r="A294" s="210"/>
      <c r="B294" s="211" t="s">
        <v>309</v>
      </c>
      <c r="C294" s="212" t="s">
        <v>310</v>
      </c>
      <c r="D294" s="220" t="s">
        <v>61</v>
      </c>
      <c r="E294" s="219"/>
      <c r="F294" s="432">
        <v>153</v>
      </c>
      <c r="G294" s="229">
        <f t="shared" si="47"/>
        <v>0</v>
      </c>
      <c r="H294" s="209">
        <f t="shared" si="48"/>
        <v>0</v>
      </c>
      <c r="I294" s="4"/>
      <c r="J294" s="22"/>
      <c r="K294" s="22"/>
      <c r="L294" s="22"/>
      <c r="M294" s="22"/>
      <c r="N294" s="22"/>
    </row>
    <row r="295" spans="1:14" customFormat="1" ht="16.05" customHeight="1" thickBot="1" x14ac:dyDescent="0.35">
      <c r="A295" s="210"/>
      <c r="B295" s="211" t="s">
        <v>311</v>
      </c>
      <c r="C295" s="212" t="s">
        <v>312</v>
      </c>
      <c r="D295" s="220" t="s">
        <v>61</v>
      </c>
      <c r="E295" s="219"/>
      <c r="F295" s="432">
        <v>54</v>
      </c>
      <c r="G295" s="229">
        <f t="shared" si="47"/>
        <v>0</v>
      </c>
      <c r="H295" s="209">
        <f t="shared" si="48"/>
        <v>0</v>
      </c>
      <c r="I295" s="4"/>
      <c r="J295" s="22"/>
      <c r="K295" s="22"/>
      <c r="L295" s="22"/>
      <c r="M295" s="22"/>
      <c r="N295" s="22"/>
    </row>
    <row r="296" spans="1:14" customFormat="1" ht="16.05" customHeight="1" thickBot="1" x14ac:dyDescent="0.35">
      <c r="A296" s="210"/>
      <c r="B296" s="211" t="s">
        <v>313</v>
      </c>
      <c r="C296" s="212" t="s">
        <v>314</v>
      </c>
      <c r="D296" s="220" t="s">
        <v>61</v>
      </c>
      <c r="E296" s="219"/>
      <c r="F296" s="432">
        <v>64</v>
      </c>
      <c r="G296" s="229">
        <f t="shared" si="47"/>
        <v>0</v>
      </c>
      <c r="H296" s="209">
        <f t="shared" si="48"/>
        <v>0</v>
      </c>
      <c r="I296" s="4"/>
      <c r="J296" s="22"/>
      <c r="K296" s="22"/>
      <c r="L296" s="22"/>
      <c r="M296" s="22"/>
      <c r="N296" s="22"/>
    </row>
    <row r="297" spans="1:14" customFormat="1" ht="16.05" customHeight="1" thickBot="1" x14ac:dyDescent="0.35">
      <c r="A297" s="210"/>
      <c r="B297" s="211" t="s">
        <v>315</v>
      </c>
      <c r="C297" s="212" t="s">
        <v>316</v>
      </c>
      <c r="D297" s="220" t="s">
        <v>61</v>
      </c>
      <c r="E297" s="219"/>
      <c r="F297" s="432">
        <v>127</v>
      </c>
      <c r="G297" s="229">
        <f t="shared" si="47"/>
        <v>0</v>
      </c>
      <c r="H297" s="209">
        <f t="shared" si="48"/>
        <v>0</v>
      </c>
      <c r="I297" s="4"/>
      <c r="J297" s="22"/>
      <c r="K297" s="22"/>
      <c r="L297" s="22"/>
      <c r="M297" s="22"/>
      <c r="N297" s="22"/>
    </row>
    <row r="298" spans="1:14" customFormat="1" ht="16.05" customHeight="1" thickBot="1" x14ac:dyDescent="0.35">
      <c r="A298" s="210"/>
      <c r="B298" s="211" t="s">
        <v>317</v>
      </c>
      <c r="C298" s="212" t="s">
        <v>318</v>
      </c>
      <c r="D298" s="220" t="s">
        <v>61</v>
      </c>
      <c r="E298" s="219"/>
      <c r="F298" s="432">
        <v>319</v>
      </c>
      <c r="G298" s="229">
        <f t="shared" si="47"/>
        <v>0</v>
      </c>
      <c r="H298" s="209">
        <f t="shared" si="48"/>
        <v>0</v>
      </c>
      <c r="I298" s="4"/>
      <c r="J298" s="22"/>
      <c r="K298" s="22"/>
      <c r="L298" s="22"/>
      <c r="M298" s="22"/>
      <c r="N298" s="22"/>
    </row>
    <row r="299" spans="1:14" customFormat="1" ht="16.05" customHeight="1" thickBot="1" x14ac:dyDescent="0.35">
      <c r="A299" s="210"/>
      <c r="B299" s="211" t="s">
        <v>319</v>
      </c>
      <c r="C299" s="212" t="s">
        <v>320</v>
      </c>
      <c r="D299" s="220" t="s">
        <v>61</v>
      </c>
      <c r="E299" s="219"/>
      <c r="F299" s="432">
        <v>53</v>
      </c>
      <c r="G299" s="229">
        <f t="shared" si="47"/>
        <v>0</v>
      </c>
      <c r="H299" s="209">
        <f t="shared" si="48"/>
        <v>0</v>
      </c>
      <c r="I299" s="4"/>
      <c r="J299" s="22"/>
      <c r="K299" s="22"/>
      <c r="L299" s="22"/>
      <c r="M299" s="22"/>
      <c r="N299" s="22"/>
    </row>
    <row r="300" spans="1:14" customFormat="1" ht="16.05" customHeight="1" thickBot="1" x14ac:dyDescent="0.35">
      <c r="A300" s="210"/>
      <c r="B300" s="211" t="s">
        <v>321</v>
      </c>
      <c r="C300" s="212" t="s">
        <v>322</v>
      </c>
      <c r="D300" s="220" t="s">
        <v>61</v>
      </c>
      <c r="E300" s="219"/>
      <c r="F300" s="432">
        <v>71</v>
      </c>
      <c r="G300" s="229">
        <f t="shared" si="47"/>
        <v>0</v>
      </c>
      <c r="H300" s="209">
        <f t="shared" si="48"/>
        <v>0</v>
      </c>
      <c r="I300" s="4"/>
      <c r="J300" s="22"/>
      <c r="K300" s="22"/>
      <c r="L300" s="22"/>
      <c r="M300" s="22"/>
      <c r="N300" s="22"/>
    </row>
    <row r="301" spans="1:14" customFormat="1" ht="16.05" customHeight="1" thickBot="1" x14ac:dyDescent="0.35">
      <c r="A301" s="210"/>
      <c r="B301" s="211" t="s">
        <v>323</v>
      </c>
      <c r="C301" s="212" t="s">
        <v>324</v>
      </c>
      <c r="D301" s="220" t="s">
        <v>61</v>
      </c>
      <c r="E301" s="219"/>
      <c r="F301" s="432">
        <v>142</v>
      </c>
      <c r="G301" s="229">
        <f t="shared" si="47"/>
        <v>0</v>
      </c>
      <c r="H301" s="209">
        <f t="shared" si="48"/>
        <v>0</v>
      </c>
      <c r="I301" s="4"/>
      <c r="J301" s="22"/>
      <c r="K301" s="22"/>
      <c r="L301" s="22"/>
      <c r="M301" s="22"/>
      <c r="N301" s="22"/>
    </row>
    <row r="302" spans="1:14" customFormat="1" ht="16.05" customHeight="1" thickBot="1" x14ac:dyDescent="0.35">
      <c r="A302" s="210"/>
      <c r="B302" s="211" t="s">
        <v>325</v>
      </c>
      <c r="C302" s="212" t="s">
        <v>326</v>
      </c>
      <c r="D302" s="219" t="s">
        <v>61</v>
      </c>
      <c r="E302" s="211"/>
      <c r="F302" s="432">
        <v>354</v>
      </c>
      <c r="G302" s="229">
        <f t="shared" si="47"/>
        <v>0</v>
      </c>
      <c r="H302" s="209">
        <f t="shared" si="48"/>
        <v>0</v>
      </c>
      <c r="I302" s="4"/>
      <c r="J302" s="22"/>
      <c r="K302" s="22"/>
      <c r="L302" s="22"/>
      <c r="M302" s="22"/>
      <c r="N302" s="22"/>
    </row>
    <row r="303" spans="1:14" customFormat="1" ht="16.05" customHeight="1" thickBot="1" x14ac:dyDescent="0.35">
      <c r="A303" s="210"/>
      <c r="B303" s="211" t="s">
        <v>327</v>
      </c>
      <c r="C303" s="212" t="s">
        <v>328</v>
      </c>
      <c r="D303" s="219" t="s">
        <v>61</v>
      </c>
      <c r="E303" s="211"/>
      <c r="F303" s="432">
        <v>578</v>
      </c>
      <c r="G303" s="229">
        <f t="shared" si="47"/>
        <v>0</v>
      </c>
      <c r="H303" s="209">
        <f t="shared" si="48"/>
        <v>0</v>
      </c>
      <c r="I303" s="4"/>
      <c r="J303" s="22"/>
      <c r="K303" s="22"/>
      <c r="L303" s="22"/>
      <c r="M303" s="22"/>
      <c r="N303" s="22"/>
    </row>
    <row r="304" spans="1:14" customFormat="1" ht="16.05" customHeight="1" thickBot="1" x14ac:dyDescent="0.35">
      <c r="A304" s="210"/>
      <c r="B304" s="211" t="s">
        <v>329</v>
      </c>
      <c r="C304" s="212" t="s">
        <v>330</v>
      </c>
      <c r="D304" s="219" t="s">
        <v>61</v>
      </c>
      <c r="E304" s="215"/>
      <c r="F304" s="435">
        <v>365</v>
      </c>
      <c r="G304" s="230">
        <f t="shared" si="47"/>
        <v>0</v>
      </c>
      <c r="H304" s="209">
        <f t="shared" si="48"/>
        <v>0</v>
      </c>
      <c r="I304" s="4"/>
      <c r="J304" s="22"/>
      <c r="K304" s="22"/>
      <c r="L304" s="22"/>
      <c r="M304" s="22"/>
      <c r="N304" s="22"/>
    </row>
    <row r="305" spans="1:14" customFormat="1" ht="16.05" customHeight="1" thickBot="1" x14ac:dyDescent="0.35">
      <c r="A305" s="210"/>
      <c r="B305" s="211" t="s">
        <v>331</v>
      </c>
      <c r="C305" s="212" t="s">
        <v>332</v>
      </c>
      <c r="D305" s="219" t="s">
        <v>61</v>
      </c>
      <c r="E305" s="211"/>
      <c r="F305" s="432">
        <v>381</v>
      </c>
      <c r="G305" s="229">
        <f t="shared" si="47"/>
        <v>0</v>
      </c>
      <c r="H305" s="209">
        <f t="shared" si="48"/>
        <v>0</v>
      </c>
      <c r="I305" s="4"/>
      <c r="J305" s="22"/>
      <c r="K305" s="22"/>
      <c r="L305" s="22"/>
      <c r="M305" s="22"/>
      <c r="N305" s="22"/>
    </row>
    <row r="306" spans="1:14" customFormat="1" ht="16.05" customHeight="1" thickTop="1" thickBot="1" x14ac:dyDescent="0.35">
      <c r="A306" s="231" t="s">
        <v>517</v>
      </c>
      <c r="B306" s="232"/>
      <c r="C306" s="232"/>
      <c r="D306" s="232"/>
      <c r="E306" s="615"/>
      <c r="F306" s="433"/>
      <c r="G306" s="233"/>
      <c r="H306" s="209">
        <f>SUM(H307:H320)</f>
        <v>0</v>
      </c>
      <c r="I306" s="4"/>
      <c r="J306" s="22"/>
      <c r="K306" s="22"/>
      <c r="L306" s="22"/>
      <c r="M306" s="22"/>
      <c r="N306" s="22"/>
    </row>
    <row r="307" spans="1:14" customFormat="1" ht="37.950000000000003" customHeight="1" thickTop="1" thickBot="1" x14ac:dyDescent="0.35">
      <c r="A307" s="210"/>
      <c r="B307" s="211" t="s">
        <v>333</v>
      </c>
      <c r="C307" s="212" t="s">
        <v>334</v>
      </c>
      <c r="D307" s="211" t="s">
        <v>10</v>
      </c>
      <c r="E307" s="211"/>
      <c r="F307" s="436">
        <v>104</v>
      </c>
      <c r="G307" s="229">
        <f t="shared" si="47"/>
        <v>0</v>
      </c>
      <c r="H307" s="209">
        <f t="shared" si="48"/>
        <v>0</v>
      </c>
      <c r="I307" s="4"/>
      <c r="J307" s="22"/>
      <c r="K307" s="22"/>
      <c r="L307" s="22"/>
      <c r="M307" s="22"/>
      <c r="N307" s="22"/>
    </row>
    <row r="308" spans="1:14" customFormat="1" ht="37.950000000000003" customHeight="1" thickBot="1" x14ac:dyDescent="0.35">
      <c r="A308" s="210"/>
      <c r="B308" s="211" t="s">
        <v>335</v>
      </c>
      <c r="C308" s="212" t="s">
        <v>336</v>
      </c>
      <c r="D308" s="211" t="s">
        <v>10</v>
      </c>
      <c r="E308" s="211"/>
      <c r="F308" s="436">
        <v>120</v>
      </c>
      <c r="G308" s="229">
        <f t="shared" si="47"/>
        <v>0</v>
      </c>
      <c r="H308" s="209">
        <f t="shared" si="48"/>
        <v>0</v>
      </c>
      <c r="I308" s="4"/>
      <c r="J308" s="22"/>
      <c r="K308" s="22"/>
      <c r="L308" s="22"/>
      <c r="M308" s="22"/>
      <c r="N308" s="22"/>
    </row>
    <row r="309" spans="1:14" customFormat="1" ht="37.950000000000003" customHeight="1" thickBot="1" x14ac:dyDescent="0.35">
      <c r="A309" s="210"/>
      <c r="B309" s="211" t="s">
        <v>337</v>
      </c>
      <c r="C309" s="212" t="s">
        <v>338</v>
      </c>
      <c r="D309" s="211" t="s">
        <v>10</v>
      </c>
      <c r="E309" s="211"/>
      <c r="F309" s="436">
        <v>136</v>
      </c>
      <c r="G309" s="229">
        <f t="shared" si="47"/>
        <v>0</v>
      </c>
      <c r="H309" s="209">
        <f t="shared" si="48"/>
        <v>0</v>
      </c>
      <c r="I309" s="4"/>
      <c r="J309" s="22"/>
      <c r="K309" s="22"/>
      <c r="L309" s="22"/>
      <c r="M309" s="22"/>
      <c r="N309" s="22"/>
    </row>
    <row r="310" spans="1:14" customFormat="1" ht="37.950000000000003" customHeight="1" thickBot="1" x14ac:dyDescent="0.35">
      <c r="A310" s="210"/>
      <c r="B310" s="211" t="s">
        <v>339</v>
      </c>
      <c r="C310" s="212" t="s">
        <v>340</v>
      </c>
      <c r="D310" s="211" t="s">
        <v>10</v>
      </c>
      <c r="E310" s="211"/>
      <c r="F310" s="436">
        <v>151</v>
      </c>
      <c r="G310" s="229">
        <f t="shared" si="47"/>
        <v>0</v>
      </c>
      <c r="H310" s="209">
        <f t="shared" si="48"/>
        <v>0</v>
      </c>
      <c r="I310" s="4"/>
      <c r="J310" s="22"/>
      <c r="K310" s="22"/>
      <c r="L310" s="22"/>
      <c r="M310" s="22"/>
      <c r="N310" s="22"/>
    </row>
    <row r="311" spans="1:14" customFormat="1" ht="37.950000000000003" customHeight="1" thickBot="1" x14ac:dyDescent="0.35">
      <c r="A311" s="210"/>
      <c r="B311" s="211" t="s">
        <v>341</v>
      </c>
      <c r="C311" s="212" t="s">
        <v>342</v>
      </c>
      <c r="D311" s="211" t="s">
        <v>10</v>
      </c>
      <c r="E311" s="211"/>
      <c r="F311" s="436">
        <v>168</v>
      </c>
      <c r="G311" s="229">
        <f t="shared" si="47"/>
        <v>0</v>
      </c>
      <c r="H311" s="209">
        <f t="shared" si="48"/>
        <v>0</v>
      </c>
      <c r="I311" s="4"/>
      <c r="J311" s="22"/>
      <c r="K311" s="22"/>
      <c r="L311" s="22"/>
      <c r="M311" s="22"/>
      <c r="N311" s="22"/>
    </row>
    <row r="312" spans="1:14" customFormat="1" ht="37.950000000000003" customHeight="1" thickBot="1" x14ac:dyDescent="0.35">
      <c r="A312" s="210"/>
      <c r="B312" s="211" t="s">
        <v>343</v>
      </c>
      <c r="C312" s="212" t="s">
        <v>344</v>
      </c>
      <c r="D312" s="211" t="s">
        <v>10</v>
      </c>
      <c r="E312" s="211"/>
      <c r="F312" s="436">
        <v>184</v>
      </c>
      <c r="G312" s="229">
        <f t="shared" si="47"/>
        <v>0</v>
      </c>
      <c r="H312" s="209">
        <f t="shared" si="48"/>
        <v>0</v>
      </c>
      <c r="I312" s="4"/>
      <c r="J312" s="22"/>
      <c r="K312" s="22"/>
      <c r="L312" s="22"/>
      <c r="M312" s="22"/>
      <c r="N312" s="22"/>
    </row>
    <row r="313" spans="1:14" customFormat="1" ht="37.950000000000003" customHeight="1" thickBot="1" x14ac:dyDescent="0.35">
      <c r="A313" s="210"/>
      <c r="B313" s="211" t="s">
        <v>345</v>
      </c>
      <c r="C313" s="212" t="s">
        <v>346</v>
      </c>
      <c r="D313" s="211" t="s">
        <v>10</v>
      </c>
      <c r="E313" s="211"/>
      <c r="F313" s="436">
        <v>200</v>
      </c>
      <c r="G313" s="229">
        <f t="shared" si="47"/>
        <v>0</v>
      </c>
      <c r="H313" s="209">
        <f t="shared" si="48"/>
        <v>0</v>
      </c>
      <c r="I313" s="4"/>
      <c r="J313" s="22"/>
      <c r="K313" s="22"/>
      <c r="L313" s="22"/>
      <c r="M313" s="22"/>
      <c r="N313" s="22"/>
    </row>
    <row r="314" spans="1:14" customFormat="1" ht="37.950000000000003" customHeight="1" thickBot="1" x14ac:dyDescent="0.35">
      <c r="A314" s="210"/>
      <c r="B314" s="211" t="s">
        <v>347</v>
      </c>
      <c r="C314" s="212" t="s">
        <v>348</v>
      </c>
      <c r="D314" s="211" t="s">
        <v>10</v>
      </c>
      <c r="E314" s="211"/>
      <c r="F314" s="436">
        <v>215</v>
      </c>
      <c r="G314" s="229">
        <f t="shared" si="47"/>
        <v>0</v>
      </c>
      <c r="H314" s="209">
        <f t="shared" si="48"/>
        <v>0</v>
      </c>
      <c r="I314" s="4"/>
      <c r="J314" s="22"/>
      <c r="K314" s="22"/>
      <c r="L314" s="22"/>
      <c r="M314" s="22"/>
      <c r="N314" s="22"/>
    </row>
    <row r="315" spans="1:14" customFormat="1" ht="37.950000000000003" customHeight="1" thickBot="1" x14ac:dyDescent="0.35">
      <c r="A315" s="210"/>
      <c r="B315" s="211" t="s">
        <v>349</v>
      </c>
      <c r="C315" s="212" t="s">
        <v>350</v>
      </c>
      <c r="D315" s="211" t="s">
        <v>10</v>
      </c>
      <c r="E315" s="211"/>
      <c r="F315" s="436">
        <v>233</v>
      </c>
      <c r="G315" s="229">
        <f t="shared" si="47"/>
        <v>0</v>
      </c>
      <c r="H315" s="209">
        <f t="shared" si="48"/>
        <v>0</v>
      </c>
      <c r="I315" s="4"/>
      <c r="J315" s="22"/>
      <c r="K315" s="22"/>
      <c r="L315" s="22"/>
      <c r="M315" s="22"/>
      <c r="N315" s="22"/>
    </row>
    <row r="316" spans="1:14" customFormat="1" ht="37.950000000000003" customHeight="1" thickBot="1" x14ac:dyDescent="0.35">
      <c r="A316" s="210"/>
      <c r="B316" s="211" t="s">
        <v>351</v>
      </c>
      <c r="C316" s="212" t="s">
        <v>352</v>
      </c>
      <c r="D316" s="211" t="s">
        <v>10</v>
      </c>
      <c r="E316" s="211"/>
      <c r="F316" s="436">
        <v>247</v>
      </c>
      <c r="G316" s="229">
        <f t="shared" si="47"/>
        <v>0</v>
      </c>
      <c r="H316" s="209">
        <f t="shared" si="48"/>
        <v>0</v>
      </c>
      <c r="I316" s="4"/>
      <c r="J316" s="22"/>
      <c r="K316" s="22"/>
      <c r="L316" s="22"/>
      <c r="M316" s="22"/>
      <c r="N316" s="22"/>
    </row>
    <row r="317" spans="1:14" customFormat="1" ht="37.950000000000003" customHeight="1" thickBot="1" x14ac:dyDescent="0.35">
      <c r="A317" s="210"/>
      <c r="B317" s="211" t="s">
        <v>353</v>
      </c>
      <c r="C317" s="212" t="s">
        <v>354</v>
      </c>
      <c r="D317" s="211" t="s">
        <v>10</v>
      </c>
      <c r="E317" s="211"/>
      <c r="F317" s="436">
        <v>265</v>
      </c>
      <c r="G317" s="229">
        <f t="shared" si="47"/>
        <v>0</v>
      </c>
      <c r="H317" s="209">
        <f t="shared" si="48"/>
        <v>0</v>
      </c>
      <c r="I317" s="4"/>
      <c r="J317" s="22"/>
      <c r="K317" s="22"/>
      <c r="L317" s="22"/>
      <c r="M317" s="22"/>
      <c r="N317" s="22"/>
    </row>
    <row r="318" spans="1:14" customFormat="1" ht="37.950000000000003" customHeight="1" thickBot="1" x14ac:dyDescent="0.35">
      <c r="A318" s="210"/>
      <c r="B318" s="211" t="s">
        <v>355</v>
      </c>
      <c r="C318" s="212" t="s">
        <v>356</v>
      </c>
      <c r="D318" s="211" t="s">
        <v>10</v>
      </c>
      <c r="E318" s="211"/>
      <c r="F318" s="436">
        <v>283</v>
      </c>
      <c r="G318" s="229">
        <f t="shared" si="47"/>
        <v>0</v>
      </c>
      <c r="H318" s="209">
        <f t="shared" si="48"/>
        <v>0</v>
      </c>
      <c r="I318" s="4"/>
      <c r="J318" s="22"/>
      <c r="K318" s="22"/>
      <c r="L318" s="22"/>
      <c r="M318" s="22"/>
      <c r="N318" s="22"/>
    </row>
    <row r="319" spans="1:14" customFormat="1" ht="37.950000000000003" customHeight="1" thickBot="1" x14ac:dyDescent="0.35">
      <c r="A319" s="210"/>
      <c r="B319" s="211" t="s">
        <v>357</v>
      </c>
      <c r="C319" s="212" t="s">
        <v>358</v>
      </c>
      <c r="D319" s="211" t="s">
        <v>10</v>
      </c>
      <c r="E319" s="211"/>
      <c r="F319" s="436">
        <v>298</v>
      </c>
      <c r="G319" s="229">
        <f t="shared" si="47"/>
        <v>0</v>
      </c>
      <c r="H319" s="209">
        <f t="shared" si="48"/>
        <v>0</v>
      </c>
      <c r="I319" s="4"/>
      <c r="J319" s="22"/>
      <c r="K319" s="22"/>
      <c r="L319" s="22"/>
      <c r="M319" s="22"/>
      <c r="N319" s="22"/>
    </row>
    <row r="320" spans="1:14" customFormat="1" ht="37.950000000000003" customHeight="1" thickBot="1" x14ac:dyDescent="0.35">
      <c r="A320" s="210"/>
      <c r="B320" s="211" t="s">
        <v>359</v>
      </c>
      <c r="C320" s="212" t="s">
        <v>360</v>
      </c>
      <c r="D320" s="211" t="s">
        <v>10</v>
      </c>
      <c r="E320" s="211"/>
      <c r="F320" s="436">
        <v>314</v>
      </c>
      <c r="G320" s="229">
        <f t="shared" si="47"/>
        <v>0</v>
      </c>
      <c r="H320" s="209">
        <f t="shared" si="48"/>
        <v>0</v>
      </c>
      <c r="I320" s="4"/>
      <c r="J320" s="22"/>
      <c r="K320" s="22"/>
      <c r="L320" s="22"/>
      <c r="M320" s="22"/>
      <c r="N320" s="22"/>
    </row>
    <row r="321" spans="1:17" customFormat="1" ht="16.05" customHeight="1" thickTop="1" thickBot="1" x14ac:dyDescent="0.35">
      <c r="A321" s="231" t="s">
        <v>514</v>
      </c>
      <c r="B321" s="232"/>
      <c r="C321" s="232"/>
      <c r="D321" s="232"/>
      <c r="E321" s="615"/>
      <c r="F321" s="433"/>
      <c r="G321" s="233"/>
      <c r="H321" s="209">
        <f>SUM(H322:H332)</f>
        <v>0</v>
      </c>
      <c r="I321" s="4"/>
      <c r="J321" s="22"/>
      <c r="K321" s="22"/>
      <c r="L321" s="22"/>
      <c r="M321" s="22"/>
      <c r="N321" s="22"/>
    </row>
    <row r="322" spans="1:17" customFormat="1" ht="16.05" customHeight="1" thickTop="1" thickBot="1" x14ac:dyDescent="0.35">
      <c r="A322" s="210"/>
      <c r="B322" s="221" t="s">
        <v>361</v>
      </c>
      <c r="C322" s="222" t="s">
        <v>362</v>
      </c>
      <c r="D322" s="211" t="s">
        <v>10</v>
      </c>
      <c r="E322" s="211"/>
      <c r="F322" s="436">
        <v>348</v>
      </c>
      <c r="G322" s="229">
        <f t="shared" si="47"/>
        <v>0</v>
      </c>
      <c r="H322" s="209">
        <f t="shared" si="48"/>
        <v>0</v>
      </c>
      <c r="I322" s="4"/>
      <c r="J322" s="22"/>
      <c r="K322" s="22"/>
      <c r="L322" s="22"/>
      <c r="M322" s="22"/>
      <c r="N322" s="22"/>
    </row>
    <row r="323" spans="1:17" customFormat="1" ht="16.05" customHeight="1" thickBot="1" x14ac:dyDescent="0.35">
      <c r="A323" s="210"/>
      <c r="B323" s="221" t="s">
        <v>363</v>
      </c>
      <c r="C323" s="222" t="s">
        <v>364</v>
      </c>
      <c r="D323" s="211" t="s">
        <v>10</v>
      </c>
      <c r="E323" s="211"/>
      <c r="F323" s="436">
        <v>366</v>
      </c>
      <c r="G323" s="229">
        <f t="shared" si="47"/>
        <v>0</v>
      </c>
      <c r="H323" s="209">
        <f t="shared" si="48"/>
        <v>0</v>
      </c>
      <c r="I323" s="4"/>
      <c r="J323" s="22"/>
      <c r="K323" s="22"/>
      <c r="L323" s="22"/>
      <c r="M323" s="22"/>
      <c r="N323" s="22"/>
    </row>
    <row r="324" spans="1:17" customFormat="1" ht="16.05" customHeight="1" thickBot="1" x14ac:dyDescent="0.35">
      <c r="A324" s="210"/>
      <c r="B324" s="221" t="s">
        <v>365</v>
      </c>
      <c r="C324" s="222" t="s">
        <v>366</v>
      </c>
      <c r="D324" s="211" t="s">
        <v>10</v>
      </c>
      <c r="E324" s="211"/>
      <c r="F324" s="436">
        <v>370</v>
      </c>
      <c r="G324" s="229">
        <f t="shared" si="47"/>
        <v>0</v>
      </c>
      <c r="H324" s="209">
        <f t="shared" si="48"/>
        <v>0</v>
      </c>
      <c r="I324" s="4"/>
      <c r="J324" s="22"/>
      <c r="K324" s="22"/>
      <c r="L324" s="22"/>
      <c r="M324" s="22"/>
      <c r="N324" s="22"/>
    </row>
    <row r="325" spans="1:17" customFormat="1" ht="16.05" customHeight="1" thickBot="1" x14ac:dyDescent="0.35">
      <c r="A325" s="210"/>
      <c r="B325" s="221" t="s">
        <v>367</v>
      </c>
      <c r="C325" s="222" t="s">
        <v>368</v>
      </c>
      <c r="D325" s="211" t="s">
        <v>10</v>
      </c>
      <c r="E325" s="211"/>
      <c r="F325" s="436">
        <v>392</v>
      </c>
      <c r="G325" s="229">
        <f t="shared" si="47"/>
        <v>0</v>
      </c>
      <c r="H325" s="209">
        <f t="shared" si="48"/>
        <v>0</v>
      </c>
      <c r="I325" s="4"/>
      <c r="J325" s="22"/>
      <c r="K325" s="22"/>
      <c r="L325" s="22"/>
      <c r="M325" s="22"/>
      <c r="N325" s="22"/>
    </row>
    <row r="326" spans="1:17" customFormat="1" ht="16.05" customHeight="1" thickBot="1" x14ac:dyDescent="0.35">
      <c r="A326" s="210"/>
      <c r="B326" s="221" t="s">
        <v>369</v>
      </c>
      <c r="C326" s="222" t="s">
        <v>370</v>
      </c>
      <c r="D326" s="211" t="s">
        <v>10</v>
      </c>
      <c r="E326" s="211"/>
      <c r="F326" s="436">
        <v>407</v>
      </c>
      <c r="G326" s="229">
        <f t="shared" si="47"/>
        <v>0</v>
      </c>
      <c r="H326" s="209">
        <f t="shared" si="48"/>
        <v>0</v>
      </c>
      <c r="I326" s="4"/>
      <c r="J326" s="22"/>
      <c r="K326" s="22"/>
      <c r="L326" s="22"/>
      <c r="M326" s="22"/>
      <c r="N326" s="22"/>
    </row>
    <row r="327" spans="1:17" customFormat="1" ht="16.05" customHeight="1" thickBot="1" x14ac:dyDescent="0.35">
      <c r="A327" s="210"/>
      <c r="B327" s="221" t="s">
        <v>371</v>
      </c>
      <c r="C327" s="222" t="s">
        <v>372</v>
      </c>
      <c r="D327" s="211" t="s">
        <v>10</v>
      </c>
      <c r="E327" s="211"/>
      <c r="F327" s="436">
        <v>427</v>
      </c>
      <c r="G327" s="229">
        <f t="shared" si="47"/>
        <v>0</v>
      </c>
      <c r="H327" s="209">
        <f t="shared" si="48"/>
        <v>0</v>
      </c>
      <c r="I327" s="4"/>
      <c r="J327" s="22"/>
      <c r="K327" s="22"/>
      <c r="L327" s="22"/>
      <c r="M327" s="22"/>
      <c r="N327" s="22"/>
    </row>
    <row r="328" spans="1:17" customFormat="1" ht="16.05" customHeight="1" thickBot="1" x14ac:dyDescent="0.35">
      <c r="A328" s="210"/>
      <c r="B328" s="221" t="s">
        <v>373</v>
      </c>
      <c r="C328" s="222" t="s">
        <v>374</v>
      </c>
      <c r="D328" s="211" t="s">
        <v>10</v>
      </c>
      <c r="E328" s="211"/>
      <c r="F328" s="436">
        <v>452</v>
      </c>
      <c r="G328" s="229">
        <f t="shared" si="47"/>
        <v>0</v>
      </c>
      <c r="H328" s="209">
        <f t="shared" si="48"/>
        <v>0</v>
      </c>
      <c r="I328" s="4"/>
      <c r="J328" s="22"/>
      <c r="K328" s="22"/>
      <c r="L328" s="22"/>
      <c r="M328" s="22"/>
      <c r="N328" s="22"/>
    </row>
    <row r="329" spans="1:17" customFormat="1" ht="16.05" customHeight="1" thickBot="1" x14ac:dyDescent="0.35">
      <c r="A329" s="210"/>
      <c r="B329" s="221" t="s">
        <v>375</v>
      </c>
      <c r="C329" s="222" t="s">
        <v>376</v>
      </c>
      <c r="D329" s="211" t="s">
        <v>10</v>
      </c>
      <c r="E329" s="211"/>
      <c r="F329" s="436">
        <v>468</v>
      </c>
      <c r="G329" s="229">
        <f t="shared" si="47"/>
        <v>0</v>
      </c>
      <c r="H329" s="209">
        <f t="shared" si="48"/>
        <v>0</v>
      </c>
      <c r="I329" s="4"/>
      <c r="J329" s="22"/>
      <c r="K329" s="22"/>
      <c r="L329" s="22"/>
      <c r="M329" s="22"/>
      <c r="N329" s="22"/>
    </row>
    <row r="330" spans="1:17" customFormat="1" ht="16.05" customHeight="1" thickBot="1" x14ac:dyDescent="0.35">
      <c r="A330" s="210"/>
      <c r="B330" s="221" t="s">
        <v>377</v>
      </c>
      <c r="C330" s="222" t="s">
        <v>378</v>
      </c>
      <c r="D330" s="211" t="s">
        <v>10</v>
      </c>
      <c r="E330" s="211"/>
      <c r="F330" s="436">
        <v>478</v>
      </c>
      <c r="G330" s="229">
        <f t="shared" si="47"/>
        <v>0</v>
      </c>
      <c r="H330" s="209">
        <f t="shared" si="48"/>
        <v>0</v>
      </c>
      <c r="I330" s="4"/>
      <c r="J330" s="22"/>
      <c r="K330" s="22"/>
      <c r="L330" s="22"/>
      <c r="M330" s="22"/>
      <c r="N330" s="22"/>
    </row>
    <row r="331" spans="1:17" customFormat="1" ht="16.05" customHeight="1" thickBot="1" x14ac:dyDescent="0.35">
      <c r="A331" s="210"/>
      <c r="B331" s="221" t="s">
        <v>379</v>
      </c>
      <c r="C331" s="222" t="s">
        <v>380</v>
      </c>
      <c r="D331" s="211" t="s">
        <v>10</v>
      </c>
      <c r="E331" s="211"/>
      <c r="F331" s="436">
        <v>482</v>
      </c>
      <c r="G331" s="229">
        <f t="shared" si="47"/>
        <v>0</v>
      </c>
      <c r="H331" s="209">
        <f t="shared" si="48"/>
        <v>0</v>
      </c>
      <c r="I331" s="4"/>
      <c r="J331" s="22"/>
      <c r="K331" s="22"/>
      <c r="L331" s="22"/>
      <c r="M331" s="22"/>
      <c r="N331" s="22"/>
    </row>
    <row r="332" spans="1:17" customFormat="1" ht="28.05" customHeight="1" thickBot="1" x14ac:dyDescent="0.35">
      <c r="A332" s="207"/>
      <c r="B332" s="208" t="s">
        <v>398</v>
      </c>
      <c r="C332" s="191" t="s">
        <v>606</v>
      </c>
      <c r="D332" s="208" t="s">
        <v>10</v>
      </c>
      <c r="E332" s="208"/>
      <c r="F332" s="430">
        <v>342</v>
      </c>
      <c r="G332" s="228">
        <f>E332*F332</f>
        <v>0</v>
      </c>
      <c r="H332" s="209">
        <f>E332</f>
        <v>0</v>
      </c>
      <c r="I332" s="4"/>
      <c r="J332" s="22"/>
      <c r="K332" s="22"/>
      <c r="L332" s="22"/>
      <c r="M332" s="22"/>
      <c r="N332" s="22"/>
    </row>
    <row r="333" spans="1:17" customFormat="1" ht="16.05" customHeight="1" thickTop="1" thickBot="1" x14ac:dyDescent="0.35">
      <c r="A333" s="231" t="s">
        <v>518</v>
      </c>
      <c r="B333" s="232"/>
      <c r="C333" s="232"/>
      <c r="D333" s="232"/>
      <c r="E333" s="615"/>
      <c r="F333" s="433"/>
      <c r="G333" s="233"/>
      <c r="H333" s="209">
        <f>SUM(H334:H340)</f>
        <v>0</v>
      </c>
      <c r="I333" s="4"/>
      <c r="J333" s="22"/>
      <c r="K333" s="22"/>
      <c r="L333" s="22"/>
      <c r="M333" s="22"/>
      <c r="N333" s="22"/>
    </row>
    <row r="334" spans="1:17" customFormat="1" ht="16.05" customHeight="1" thickTop="1" thickBot="1" x14ac:dyDescent="0.35">
      <c r="A334" s="502"/>
      <c r="B334" s="503" t="s">
        <v>381</v>
      </c>
      <c r="C334" s="504" t="s">
        <v>520</v>
      </c>
      <c r="D334" s="503" t="s">
        <v>10</v>
      </c>
      <c r="E334" s="503"/>
      <c r="F334" s="584">
        <v>54</v>
      </c>
      <c r="G334" s="505">
        <f t="shared" ref="G334:G340" si="57">E334*F334</f>
        <v>0</v>
      </c>
      <c r="H334" s="203">
        <f t="shared" ref="H334:H340" si="58">E334</f>
        <v>0</v>
      </c>
      <c r="I334" s="202"/>
      <c r="J334" s="22"/>
      <c r="K334" s="22"/>
      <c r="L334" s="22"/>
      <c r="M334" s="22"/>
      <c r="N334" s="22"/>
      <c r="O334" s="22"/>
      <c r="P334" s="22"/>
      <c r="Q334" s="22"/>
    </row>
    <row r="335" spans="1:17" customFormat="1" ht="16.05" customHeight="1" thickBot="1" x14ac:dyDescent="0.35">
      <c r="A335" s="502"/>
      <c r="B335" s="503" t="s">
        <v>521</v>
      </c>
      <c r="C335" s="504" t="s">
        <v>522</v>
      </c>
      <c r="D335" s="503" t="s">
        <v>10</v>
      </c>
      <c r="E335" s="503"/>
      <c r="F335" s="584">
        <v>58</v>
      </c>
      <c r="G335" s="505">
        <f t="shared" si="57"/>
        <v>0</v>
      </c>
      <c r="H335" s="203">
        <f t="shared" si="58"/>
        <v>0</v>
      </c>
      <c r="I335" s="202"/>
      <c r="J335" s="22"/>
      <c r="K335" s="22"/>
      <c r="L335" s="22"/>
      <c r="M335" s="22"/>
      <c r="N335" s="22"/>
      <c r="O335" s="22"/>
      <c r="P335" s="22"/>
      <c r="Q335" s="22"/>
    </row>
    <row r="336" spans="1:17" customFormat="1" ht="16.05" customHeight="1" thickBot="1" x14ac:dyDescent="0.35">
      <c r="A336" s="506"/>
      <c r="B336" s="221" t="s">
        <v>523</v>
      </c>
      <c r="C336" s="353" t="s">
        <v>524</v>
      </c>
      <c r="D336" s="221" t="s">
        <v>10</v>
      </c>
      <c r="E336" s="507"/>
      <c r="F336" s="585">
        <v>76</v>
      </c>
      <c r="G336" s="508">
        <f t="shared" si="57"/>
        <v>0</v>
      </c>
      <c r="H336" s="203">
        <f t="shared" si="58"/>
        <v>0</v>
      </c>
      <c r="I336" s="202"/>
      <c r="J336" s="22"/>
      <c r="K336" s="22"/>
      <c r="L336" s="22"/>
      <c r="M336" s="22"/>
      <c r="N336" s="22"/>
      <c r="O336" s="22"/>
      <c r="P336" s="22"/>
      <c r="Q336" s="22"/>
    </row>
    <row r="337" spans="1:17" customFormat="1" ht="16.05" customHeight="1" thickBot="1" x14ac:dyDescent="0.35">
      <c r="A337" s="506"/>
      <c r="B337" s="221" t="s">
        <v>450</v>
      </c>
      <c r="C337" s="353" t="s">
        <v>525</v>
      </c>
      <c r="D337" s="221" t="s">
        <v>10</v>
      </c>
      <c r="E337" s="507"/>
      <c r="F337" s="585">
        <v>82</v>
      </c>
      <c r="G337" s="508">
        <f t="shared" si="57"/>
        <v>0</v>
      </c>
      <c r="H337" s="203">
        <f t="shared" si="58"/>
        <v>0</v>
      </c>
      <c r="I337" s="202"/>
      <c r="J337" s="22"/>
      <c r="K337" s="22"/>
      <c r="L337" s="22"/>
      <c r="M337" s="22"/>
      <c r="N337" s="22"/>
      <c r="O337" s="22"/>
      <c r="P337" s="22"/>
      <c r="Q337" s="22"/>
    </row>
    <row r="338" spans="1:17" customFormat="1" ht="16.05" customHeight="1" thickBot="1" x14ac:dyDescent="0.35">
      <c r="A338" s="506"/>
      <c r="B338" s="221" t="s">
        <v>382</v>
      </c>
      <c r="C338" s="353" t="s">
        <v>526</v>
      </c>
      <c r="D338" s="221" t="s">
        <v>10</v>
      </c>
      <c r="E338" s="507"/>
      <c r="F338" s="585">
        <v>96</v>
      </c>
      <c r="G338" s="508">
        <f t="shared" si="57"/>
        <v>0</v>
      </c>
      <c r="H338" s="203">
        <f t="shared" si="58"/>
        <v>0</v>
      </c>
      <c r="I338" s="202"/>
      <c r="J338" s="22"/>
      <c r="K338" s="22"/>
      <c r="L338" s="22"/>
      <c r="M338" s="22"/>
      <c r="N338" s="22"/>
      <c r="O338" s="22"/>
      <c r="P338" s="22"/>
      <c r="Q338" s="22"/>
    </row>
    <row r="339" spans="1:17" customFormat="1" ht="16.05" customHeight="1" thickBot="1" x14ac:dyDescent="0.35">
      <c r="A339" s="506"/>
      <c r="B339" s="221" t="s">
        <v>383</v>
      </c>
      <c r="C339" s="353" t="s">
        <v>527</v>
      </c>
      <c r="D339" s="221" t="s">
        <v>10</v>
      </c>
      <c r="E339" s="507"/>
      <c r="F339" s="585">
        <v>102</v>
      </c>
      <c r="G339" s="508">
        <f t="shared" si="57"/>
        <v>0</v>
      </c>
      <c r="H339" s="203">
        <f t="shared" si="58"/>
        <v>0</v>
      </c>
      <c r="I339" s="202"/>
      <c r="J339" s="22"/>
      <c r="K339" s="22"/>
      <c r="L339" s="22"/>
      <c r="M339" s="22"/>
      <c r="N339" s="22"/>
      <c r="O339" s="22"/>
      <c r="P339" s="22"/>
      <c r="Q339" s="22"/>
    </row>
    <row r="340" spans="1:17" customFormat="1" ht="16.05" customHeight="1" thickBot="1" x14ac:dyDescent="0.35">
      <c r="A340" s="509"/>
      <c r="B340" s="510" t="s">
        <v>384</v>
      </c>
      <c r="C340" s="511" t="s">
        <v>528</v>
      </c>
      <c r="D340" s="510" t="s">
        <v>10</v>
      </c>
      <c r="E340" s="512"/>
      <c r="F340" s="586">
        <v>120</v>
      </c>
      <c r="G340" s="513">
        <f t="shared" si="57"/>
        <v>0</v>
      </c>
      <c r="H340" s="203">
        <f t="shared" si="58"/>
        <v>0</v>
      </c>
      <c r="I340" s="202"/>
      <c r="J340" s="22"/>
      <c r="K340" s="22"/>
      <c r="L340" s="22"/>
      <c r="M340" s="22"/>
      <c r="N340" s="22"/>
      <c r="O340" s="22"/>
      <c r="P340" s="22"/>
      <c r="Q340" s="22"/>
    </row>
    <row r="341" spans="1:17" customFormat="1" ht="16.05" customHeight="1" thickTop="1" thickBot="1" x14ac:dyDescent="0.35">
      <c r="A341" s="231" t="s">
        <v>519</v>
      </c>
      <c r="B341" s="232"/>
      <c r="C341" s="232"/>
      <c r="D341" s="232"/>
      <c r="E341" s="615"/>
      <c r="F341" s="433"/>
      <c r="G341" s="233"/>
      <c r="H341" s="209">
        <f>SUM(H342:H351)</f>
        <v>0</v>
      </c>
      <c r="I341" s="4"/>
      <c r="J341" s="22"/>
      <c r="K341" s="22"/>
      <c r="L341" s="22"/>
      <c r="M341" s="22"/>
      <c r="N341" s="22"/>
    </row>
    <row r="342" spans="1:17" customFormat="1" ht="16.05" customHeight="1" thickTop="1" thickBot="1" x14ac:dyDescent="0.35">
      <c r="A342" s="210"/>
      <c r="B342" s="211" t="s">
        <v>385</v>
      </c>
      <c r="C342" s="212" t="s">
        <v>386</v>
      </c>
      <c r="D342" s="211" t="s">
        <v>83</v>
      </c>
      <c r="E342" s="211"/>
      <c r="F342" s="432">
        <v>4</v>
      </c>
      <c r="G342" s="229">
        <f t="shared" si="47"/>
        <v>0</v>
      </c>
      <c r="H342" s="209">
        <f t="shared" ref="H342:H351" si="59">E342</f>
        <v>0</v>
      </c>
      <c r="I342" s="4"/>
      <c r="J342" s="22"/>
      <c r="K342" s="22"/>
      <c r="L342" s="22"/>
      <c r="M342" s="22"/>
      <c r="N342" s="22"/>
    </row>
    <row r="343" spans="1:17" customFormat="1" ht="16.05" customHeight="1" thickBot="1" x14ac:dyDescent="0.35">
      <c r="A343" s="210"/>
      <c r="B343" s="211" t="s">
        <v>387</v>
      </c>
      <c r="C343" s="212" t="s">
        <v>388</v>
      </c>
      <c r="D343" s="211" t="s">
        <v>83</v>
      </c>
      <c r="E343" s="211"/>
      <c r="F343" s="432">
        <v>4</v>
      </c>
      <c r="G343" s="229">
        <f t="shared" si="47"/>
        <v>0</v>
      </c>
      <c r="H343" s="209">
        <f t="shared" si="59"/>
        <v>0</v>
      </c>
      <c r="I343" s="4"/>
      <c r="J343" s="22"/>
      <c r="K343" s="22"/>
      <c r="L343" s="22"/>
      <c r="M343" s="22"/>
      <c r="N343" s="22"/>
    </row>
    <row r="344" spans="1:17" customFormat="1" ht="16.05" customHeight="1" thickBot="1" x14ac:dyDescent="0.35">
      <c r="A344" s="210"/>
      <c r="B344" s="211" t="s">
        <v>389</v>
      </c>
      <c r="C344" s="212" t="s">
        <v>390</v>
      </c>
      <c r="D344" s="211" t="s">
        <v>83</v>
      </c>
      <c r="E344" s="211"/>
      <c r="F344" s="432">
        <v>4</v>
      </c>
      <c r="G344" s="229">
        <f t="shared" si="47"/>
        <v>0</v>
      </c>
      <c r="H344" s="209">
        <f t="shared" si="59"/>
        <v>0</v>
      </c>
      <c r="I344" s="4"/>
      <c r="J344" s="22"/>
      <c r="K344" s="22"/>
      <c r="L344" s="22"/>
      <c r="M344" s="22"/>
      <c r="N344" s="22"/>
    </row>
    <row r="345" spans="1:17" customFormat="1" ht="16.05" customHeight="1" thickBot="1" x14ac:dyDescent="0.35">
      <c r="A345" s="210"/>
      <c r="B345" s="211" t="s">
        <v>391</v>
      </c>
      <c r="C345" s="212" t="s">
        <v>392</v>
      </c>
      <c r="D345" s="211" t="s">
        <v>83</v>
      </c>
      <c r="E345" s="211"/>
      <c r="F345" s="432">
        <v>4</v>
      </c>
      <c r="G345" s="229">
        <f t="shared" si="47"/>
        <v>0</v>
      </c>
      <c r="H345" s="209">
        <f t="shared" si="59"/>
        <v>0</v>
      </c>
      <c r="I345" s="4"/>
      <c r="J345" s="22"/>
      <c r="K345" s="22"/>
      <c r="L345" s="22"/>
      <c r="M345" s="22"/>
      <c r="N345" s="22"/>
    </row>
    <row r="346" spans="1:17" customFormat="1" ht="16.05" customHeight="1" thickBot="1" x14ac:dyDescent="0.35">
      <c r="A346" s="210"/>
      <c r="B346" s="211" t="s">
        <v>515</v>
      </c>
      <c r="C346" s="212" t="s">
        <v>516</v>
      </c>
      <c r="D346" s="211" t="s">
        <v>83</v>
      </c>
      <c r="E346" s="211"/>
      <c r="F346" s="432">
        <v>4</v>
      </c>
      <c r="G346" s="229">
        <f t="shared" ref="G346" si="60">E346*F346</f>
        <v>0</v>
      </c>
      <c r="H346" s="209">
        <f t="shared" ref="H346" si="61">E346</f>
        <v>0</v>
      </c>
      <c r="I346" s="4"/>
      <c r="J346" s="22"/>
      <c r="K346" s="22"/>
      <c r="L346" s="22"/>
      <c r="M346" s="22"/>
      <c r="N346" s="22"/>
    </row>
    <row r="347" spans="1:17" customFormat="1" ht="16.05" customHeight="1" thickBot="1" x14ac:dyDescent="0.35">
      <c r="A347" s="210"/>
      <c r="B347" s="211">
        <v>91001</v>
      </c>
      <c r="C347" s="212" t="s">
        <v>393</v>
      </c>
      <c r="D347" s="211" t="s">
        <v>83</v>
      </c>
      <c r="E347" s="211"/>
      <c r="F347" s="432">
        <v>12</v>
      </c>
      <c r="G347" s="229">
        <f t="shared" si="47"/>
        <v>0</v>
      </c>
      <c r="H347" s="209">
        <f t="shared" si="59"/>
        <v>0</v>
      </c>
      <c r="I347" s="4"/>
      <c r="J347" s="22"/>
      <c r="K347" s="22"/>
      <c r="L347" s="22"/>
      <c r="M347" s="22"/>
      <c r="N347" s="22"/>
    </row>
    <row r="348" spans="1:17" customFormat="1" ht="16.05" customHeight="1" thickBot="1" x14ac:dyDescent="0.35">
      <c r="A348" s="210"/>
      <c r="B348" s="211">
        <v>91002</v>
      </c>
      <c r="C348" s="212" t="s">
        <v>394</v>
      </c>
      <c r="D348" s="211" t="s">
        <v>83</v>
      </c>
      <c r="E348" s="211"/>
      <c r="F348" s="432">
        <v>15</v>
      </c>
      <c r="G348" s="229">
        <f t="shared" si="47"/>
        <v>0</v>
      </c>
      <c r="H348" s="209">
        <f t="shared" si="59"/>
        <v>0</v>
      </c>
      <c r="I348" s="4"/>
      <c r="J348" s="22"/>
      <c r="K348" s="22"/>
      <c r="L348" s="22"/>
      <c r="M348" s="22"/>
      <c r="N348" s="22"/>
    </row>
    <row r="349" spans="1:17" customFormat="1" ht="16.05" customHeight="1" thickBot="1" x14ac:dyDescent="0.35">
      <c r="A349" s="210"/>
      <c r="B349" s="211">
        <v>91201</v>
      </c>
      <c r="C349" s="212" t="s">
        <v>395</v>
      </c>
      <c r="D349" s="211" t="s">
        <v>83</v>
      </c>
      <c r="E349" s="211"/>
      <c r="F349" s="432">
        <v>21</v>
      </c>
      <c r="G349" s="229">
        <f t="shared" si="47"/>
        <v>0</v>
      </c>
      <c r="H349" s="209">
        <f t="shared" si="59"/>
        <v>0</v>
      </c>
      <c r="I349" s="4"/>
      <c r="J349" s="22"/>
      <c r="K349" s="22"/>
      <c r="L349" s="22"/>
      <c r="M349" s="22"/>
      <c r="N349" s="22"/>
    </row>
    <row r="350" spans="1:17" customFormat="1" ht="16.05" customHeight="1" thickBot="1" x14ac:dyDescent="0.35">
      <c r="A350" s="210"/>
      <c r="B350" s="211">
        <v>91202</v>
      </c>
      <c r="C350" s="212" t="s">
        <v>396</v>
      </c>
      <c r="D350" s="211" t="s">
        <v>83</v>
      </c>
      <c r="E350" s="211"/>
      <c r="F350" s="432">
        <v>32</v>
      </c>
      <c r="G350" s="229">
        <f t="shared" si="47"/>
        <v>0</v>
      </c>
      <c r="H350" s="209">
        <f t="shared" si="59"/>
        <v>0</v>
      </c>
      <c r="I350" s="4"/>
      <c r="J350" s="22"/>
      <c r="K350" s="22"/>
      <c r="L350" s="22"/>
      <c r="M350" s="22"/>
      <c r="N350" s="22"/>
    </row>
    <row r="351" spans="1:17" customFormat="1" ht="16.05" customHeight="1" thickBot="1" x14ac:dyDescent="0.35">
      <c r="A351" s="210"/>
      <c r="B351" s="211">
        <v>91203</v>
      </c>
      <c r="C351" s="212" t="s">
        <v>397</v>
      </c>
      <c r="D351" s="211" t="s">
        <v>83</v>
      </c>
      <c r="E351" s="211"/>
      <c r="F351" s="432">
        <v>49</v>
      </c>
      <c r="G351" s="229">
        <f t="shared" si="47"/>
        <v>0</v>
      </c>
      <c r="H351" s="209">
        <f t="shared" si="59"/>
        <v>0</v>
      </c>
      <c r="I351" s="4"/>
      <c r="J351" s="22"/>
      <c r="K351" s="22"/>
      <c r="L351" s="22"/>
      <c r="M351" s="22"/>
      <c r="N351" s="22"/>
    </row>
    <row r="352" spans="1:17" customFormat="1" ht="16.05" customHeight="1" thickTop="1" thickBot="1" x14ac:dyDescent="0.35">
      <c r="A352" s="236" t="s">
        <v>399</v>
      </c>
      <c r="B352" s="237"/>
      <c r="C352" s="237"/>
      <c r="D352" s="237"/>
      <c r="E352" s="616"/>
      <c r="F352" s="437"/>
      <c r="G352" s="238"/>
      <c r="H352" s="189">
        <f>SUM(H353:H355)</f>
        <v>0</v>
      </c>
      <c r="I352" s="4"/>
      <c r="J352" s="22"/>
      <c r="K352" s="22"/>
      <c r="L352" s="22"/>
      <c r="M352" s="22"/>
      <c r="N352" s="22"/>
    </row>
    <row r="353" spans="1:17" customFormat="1" ht="28.05" customHeight="1" thickTop="1" thickBot="1" x14ac:dyDescent="0.35">
      <c r="A353" s="520"/>
      <c r="B353" s="521" t="s">
        <v>400</v>
      </c>
      <c r="C353" s="522" t="s">
        <v>401</v>
      </c>
      <c r="D353" s="521" t="s">
        <v>10</v>
      </c>
      <c r="E353" s="521"/>
      <c r="F353" s="523">
        <v>179</v>
      </c>
      <c r="G353" s="524">
        <f>E353*F353</f>
        <v>0</v>
      </c>
      <c r="H353" s="209">
        <f>E353</f>
        <v>0</v>
      </c>
      <c r="I353" s="4"/>
      <c r="J353" s="22"/>
      <c r="K353" s="22"/>
      <c r="L353" s="22"/>
      <c r="M353" s="22"/>
      <c r="N353" s="22"/>
    </row>
    <row r="354" spans="1:17" customFormat="1" ht="16.05" customHeight="1" thickBot="1" x14ac:dyDescent="0.35">
      <c r="A354" s="225"/>
      <c r="B354" s="223" t="s">
        <v>402</v>
      </c>
      <c r="C354" s="224" t="s">
        <v>403</v>
      </c>
      <c r="D354" s="223" t="s">
        <v>10</v>
      </c>
      <c r="E354" s="223"/>
      <c r="F354" s="438">
        <v>17</v>
      </c>
      <c r="G354" s="243">
        <f t="shared" ref="G354:G355" si="62">E354*F354</f>
        <v>0</v>
      </c>
      <c r="H354" s="209">
        <f t="shared" ref="H354:H355" si="63">E354</f>
        <v>0</v>
      </c>
      <c r="I354" s="4"/>
      <c r="J354" s="22"/>
      <c r="K354" s="22"/>
      <c r="L354" s="22"/>
      <c r="M354" s="22"/>
      <c r="N354" s="22"/>
    </row>
    <row r="355" spans="1:17" customFormat="1" ht="16.05" customHeight="1" thickBot="1" x14ac:dyDescent="0.35">
      <c r="A355" s="226"/>
      <c r="B355" s="227" t="s">
        <v>404</v>
      </c>
      <c r="C355" s="525" t="s">
        <v>405</v>
      </c>
      <c r="D355" s="227" t="s">
        <v>10</v>
      </c>
      <c r="E355" s="227"/>
      <c r="F355" s="526">
        <v>41</v>
      </c>
      <c r="G355" s="244">
        <f t="shared" si="62"/>
        <v>0</v>
      </c>
      <c r="H355" s="209">
        <f t="shared" si="63"/>
        <v>0</v>
      </c>
      <c r="I355" s="4"/>
      <c r="J355" s="22"/>
      <c r="K355" s="22"/>
      <c r="L355" s="22"/>
      <c r="M355" s="22"/>
      <c r="N355" s="22"/>
    </row>
    <row r="356" spans="1:17" customFormat="1" ht="16.05" customHeight="1" thickTop="1" thickBot="1" x14ac:dyDescent="0.35">
      <c r="A356" s="236" t="s">
        <v>406</v>
      </c>
      <c r="B356" s="237"/>
      <c r="C356" s="237"/>
      <c r="D356" s="237"/>
      <c r="E356" s="616"/>
      <c r="F356" s="437"/>
      <c r="G356" s="9"/>
      <c r="H356" s="189">
        <f>SUM(H357:H359)</f>
        <v>0</v>
      </c>
      <c r="I356" s="4"/>
      <c r="J356" s="22"/>
      <c r="K356" s="22"/>
      <c r="L356" s="22"/>
      <c r="M356" s="22"/>
      <c r="N356" s="22"/>
    </row>
    <row r="357" spans="1:17" customFormat="1" ht="28.05" customHeight="1" thickTop="1" thickBot="1" x14ac:dyDescent="0.35">
      <c r="A357" s="520"/>
      <c r="B357" s="521" t="s">
        <v>407</v>
      </c>
      <c r="C357" s="522" t="s">
        <v>408</v>
      </c>
      <c r="D357" s="521" t="s">
        <v>10</v>
      </c>
      <c r="E357" s="521"/>
      <c r="F357" s="523">
        <v>229</v>
      </c>
      <c r="G357" s="524">
        <f>E357*F357</f>
        <v>0</v>
      </c>
      <c r="H357" s="209">
        <f>E357</f>
        <v>0</v>
      </c>
      <c r="I357" s="4"/>
      <c r="J357" s="22"/>
      <c r="K357" s="22"/>
      <c r="L357" s="22"/>
      <c r="M357" s="22"/>
      <c r="N357" s="22"/>
    </row>
    <row r="358" spans="1:17" customFormat="1" ht="16.05" customHeight="1" thickBot="1" x14ac:dyDescent="0.35">
      <c r="A358" s="225"/>
      <c r="B358" s="223" t="s">
        <v>402</v>
      </c>
      <c r="C358" s="224" t="s">
        <v>403</v>
      </c>
      <c r="D358" s="223" t="s">
        <v>10</v>
      </c>
      <c r="E358" s="223"/>
      <c r="F358" s="438">
        <v>17</v>
      </c>
      <c r="G358" s="243">
        <f t="shared" ref="G358:G359" si="64">E358*F358</f>
        <v>0</v>
      </c>
      <c r="H358" s="209">
        <f t="shared" ref="H358:H359" si="65">E358</f>
        <v>0</v>
      </c>
      <c r="I358" s="4"/>
      <c r="J358" s="22"/>
      <c r="K358" s="22"/>
      <c r="L358" s="22"/>
      <c r="M358" s="22"/>
      <c r="N358" s="22"/>
    </row>
    <row r="359" spans="1:17" customFormat="1" ht="16.05" customHeight="1" thickBot="1" x14ac:dyDescent="0.35">
      <c r="A359" s="226"/>
      <c r="B359" s="227" t="s">
        <v>409</v>
      </c>
      <c r="C359" s="525" t="s">
        <v>410</v>
      </c>
      <c r="D359" s="227" t="s">
        <v>10</v>
      </c>
      <c r="E359" s="227"/>
      <c r="F359" s="526">
        <v>63</v>
      </c>
      <c r="G359" s="244">
        <f t="shared" si="64"/>
        <v>0</v>
      </c>
      <c r="H359" s="209">
        <f t="shared" si="65"/>
        <v>0</v>
      </c>
      <c r="I359" s="4"/>
      <c r="J359" s="22"/>
      <c r="K359" s="22"/>
      <c r="L359" s="22"/>
      <c r="M359" s="22"/>
      <c r="N359" s="22"/>
    </row>
    <row r="360" spans="1:17" customFormat="1" ht="16.95" customHeight="1" thickTop="1" thickBot="1" x14ac:dyDescent="0.35">
      <c r="A360" s="703" t="s">
        <v>604</v>
      </c>
      <c r="B360" s="704"/>
      <c r="C360" s="704"/>
      <c r="D360" s="527"/>
      <c r="E360" s="617"/>
      <c r="F360" s="528"/>
      <c r="G360" s="529"/>
      <c r="H360" s="209">
        <f>SUM(H361:H362)</f>
        <v>0</v>
      </c>
      <c r="I360" s="4"/>
      <c r="J360" s="22"/>
      <c r="K360" s="22"/>
      <c r="L360" s="22"/>
      <c r="M360" s="22"/>
      <c r="N360" s="22"/>
      <c r="O360" s="22"/>
      <c r="P360" s="22"/>
      <c r="Q360" s="22"/>
    </row>
    <row r="361" spans="1:17" customFormat="1" ht="16.05" customHeight="1" thickTop="1" thickBot="1" x14ac:dyDescent="0.35">
      <c r="A361" s="218"/>
      <c r="B361" s="219" t="s">
        <v>303</v>
      </c>
      <c r="C361" s="212" t="s">
        <v>304</v>
      </c>
      <c r="D361" s="220" t="s">
        <v>61</v>
      </c>
      <c r="E361" s="219"/>
      <c r="F361" s="432">
        <v>39</v>
      </c>
      <c r="G361" s="229">
        <f t="shared" ref="G361:G362" si="66">E361*F361</f>
        <v>0</v>
      </c>
      <c r="H361" s="209">
        <f t="shared" ref="H361:H362" si="67">E361</f>
        <v>0</v>
      </c>
      <c r="I361" s="4"/>
      <c r="J361" s="22"/>
      <c r="K361" s="22"/>
      <c r="L361" s="22"/>
      <c r="M361" s="22"/>
      <c r="N361" s="22"/>
    </row>
    <row r="362" spans="1:17" customFormat="1" ht="16.05" customHeight="1" thickBot="1" x14ac:dyDescent="0.35">
      <c r="A362" s="218"/>
      <c r="B362" s="219" t="s">
        <v>305</v>
      </c>
      <c r="C362" s="212" t="s">
        <v>306</v>
      </c>
      <c r="D362" s="220" t="s">
        <v>61</v>
      </c>
      <c r="E362" s="219"/>
      <c r="F362" s="432">
        <v>116</v>
      </c>
      <c r="G362" s="229">
        <f t="shared" si="66"/>
        <v>0</v>
      </c>
      <c r="H362" s="209">
        <f t="shared" si="67"/>
        <v>0</v>
      </c>
      <c r="I362" s="4"/>
      <c r="J362" s="22"/>
      <c r="K362" s="22"/>
      <c r="L362" s="22"/>
      <c r="M362" s="22"/>
      <c r="N362" s="22"/>
    </row>
    <row r="363" spans="1:17" customFormat="1" ht="16.95" customHeight="1" thickTop="1" thickBot="1" x14ac:dyDescent="0.35">
      <c r="A363" s="707" t="s">
        <v>517</v>
      </c>
      <c r="B363" s="708"/>
      <c r="C363" s="708"/>
      <c r="D363" s="531"/>
      <c r="E363" s="618"/>
      <c r="F363" s="578"/>
      <c r="G363" s="532"/>
      <c r="H363" s="209">
        <f>SUM(H364:H378)</f>
        <v>0</v>
      </c>
      <c r="I363" s="4"/>
      <c r="J363" s="533"/>
      <c r="K363" s="214"/>
      <c r="L363" s="214"/>
      <c r="M363" s="214"/>
      <c r="N363" s="214"/>
      <c r="O363" s="214"/>
      <c r="P363" s="22"/>
      <c r="Q363" s="22"/>
    </row>
    <row r="364" spans="1:17" customFormat="1" ht="16.05" customHeight="1" thickTop="1" thickBot="1" x14ac:dyDescent="0.35">
      <c r="A364" s="502"/>
      <c r="B364" s="503" t="s">
        <v>333</v>
      </c>
      <c r="C364" s="504" t="s">
        <v>530</v>
      </c>
      <c r="D364" s="503" t="s">
        <v>10</v>
      </c>
      <c r="E364" s="519"/>
      <c r="F364" s="584">
        <v>104</v>
      </c>
      <c r="G364" s="621">
        <f t="shared" ref="G364:G378" si="68">E364*F364</f>
        <v>0</v>
      </c>
      <c r="H364" s="203">
        <f t="shared" ref="H364:H378" si="69">E364</f>
        <v>0</v>
      </c>
      <c r="I364" s="202"/>
      <c r="J364" s="214"/>
      <c r="K364" s="214"/>
      <c r="L364" s="214"/>
      <c r="M364" s="214"/>
      <c r="N364" s="214"/>
      <c r="O364" s="214"/>
      <c r="P364" s="22"/>
      <c r="Q364" s="22"/>
    </row>
    <row r="365" spans="1:17" customFormat="1" ht="16.05" customHeight="1" thickBot="1" x14ac:dyDescent="0.35">
      <c r="A365" s="506"/>
      <c r="B365" s="221" t="s">
        <v>335</v>
      </c>
      <c r="C365" s="353" t="s">
        <v>531</v>
      </c>
      <c r="D365" s="221" t="s">
        <v>10</v>
      </c>
      <c r="E365" s="219"/>
      <c r="F365" s="585">
        <v>120</v>
      </c>
      <c r="G365" s="622">
        <f t="shared" si="68"/>
        <v>0</v>
      </c>
      <c r="H365" s="203">
        <f t="shared" si="69"/>
        <v>0</v>
      </c>
      <c r="I365" s="202"/>
      <c r="J365" s="214"/>
      <c r="K365" s="214"/>
      <c r="L365" s="214"/>
      <c r="M365" s="214"/>
      <c r="N365" s="214"/>
      <c r="O365" s="214"/>
      <c r="P365" s="22"/>
      <c r="Q365" s="22"/>
    </row>
    <row r="366" spans="1:17" customFormat="1" ht="16.05" customHeight="1" thickBot="1" x14ac:dyDescent="0.35">
      <c r="A366" s="506"/>
      <c r="B366" s="221" t="s">
        <v>337</v>
      </c>
      <c r="C366" s="353" t="s">
        <v>532</v>
      </c>
      <c r="D366" s="221" t="s">
        <v>10</v>
      </c>
      <c r="E366" s="219"/>
      <c r="F366" s="585">
        <v>136</v>
      </c>
      <c r="G366" s="622">
        <f t="shared" si="68"/>
        <v>0</v>
      </c>
      <c r="H366" s="203">
        <f t="shared" si="69"/>
        <v>0</v>
      </c>
      <c r="I366" s="202"/>
      <c r="J366" s="22"/>
      <c r="K366" s="22"/>
      <c r="L366" s="22"/>
      <c r="M366" s="22"/>
      <c r="N366" s="22"/>
      <c r="O366" s="22"/>
      <c r="P366" s="22"/>
      <c r="Q366" s="22"/>
    </row>
    <row r="367" spans="1:17" customFormat="1" ht="16.05" customHeight="1" thickBot="1" x14ac:dyDescent="0.35">
      <c r="A367" s="506"/>
      <c r="B367" s="221" t="s">
        <v>339</v>
      </c>
      <c r="C367" s="353" t="s">
        <v>533</v>
      </c>
      <c r="D367" s="221" t="s">
        <v>10</v>
      </c>
      <c r="E367" s="219"/>
      <c r="F367" s="585">
        <v>151</v>
      </c>
      <c r="G367" s="622">
        <f t="shared" si="68"/>
        <v>0</v>
      </c>
      <c r="H367" s="203">
        <f t="shared" si="69"/>
        <v>0</v>
      </c>
      <c r="I367" s="202"/>
      <c r="J367" s="22"/>
      <c r="K367" s="22"/>
      <c r="L367" s="22"/>
      <c r="M367" s="22"/>
      <c r="N367" s="22"/>
      <c r="O367" s="22"/>
      <c r="P367" s="22"/>
      <c r="Q367" s="22"/>
    </row>
    <row r="368" spans="1:17" customFormat="1" ht="16.05" customHeight="1" thickBot="1" x14ac:dyDescent="0.35">
      <c r="A368" s="506"/>
      <c r="B368" s="221" t="s">
        <v>341</v>
      </c>
      <c r="C368" s="353" t="s">
        <v>534</v>
      </c>
      <c r="D368" s="221" t="s">
        <v>10</v>
      </c>
      <c r="E368" s="219"/>
      <c r="F368" s="585">
        <v>168</v>
      </c>
      <c r="G368" s="622">
        <f t="shared" si="68"/>
        <v>0</v>
      </c>
      <c r="H368" s="203">
        <f t="shared" si="69"/>
        <v>0</v>
      </c>
      <c r="I368" s="202"/>
      <c r="J368" s="22"/>
      <c r="K368" s="22"/>
      <c r="L368" s="22"/>
      <c r="M368" s="22"/>
      <c r="N368" s="22"/>
      <c r="O368" s="22"/>
      <c r="P368" s="22"/>
      <c r="Q368" s="22"/>
    </row>
    <row r="369" spans="1:17" customFormat="1" ht="16.05" customHeight="1" thickBot="1" x14ac:dyDescent="0.35">
      <c r="A369" s="506"/>
      <c r="B369" s="221" t="s">
        <v>343</v>
      </c>
      <c r="C369" s="353" t="s">
        <v>535</v>
      </c>
      <c r="D369" s="221" t="s">
        <v>10</v>
      </c>
      <c r="E369" s="219"/>
      <c r="F369" s="585">
        <v>184</v>
      </c>
      <c r="G369" s="622">
        <f t="shared" si="68"/>
        <v>0</v>
      </c>
      <c r="H369" s="203">
        <f t="shared" si="69"/>
        <v>0</v>
      </c>
      <c r="I369" s="202"/>
      <c r="J369" s="22"/>
      <c r="K369" s="22"/>
      <c r="L369" s="22"/>
      <c r="M369" s="22" t="s">
        <v>14</v>
      </c>
      <c r="N369" s="22"/>
      <c r="O369" s="22"/>
      <c r="P369" s="22"/>
      <c r="Q369" s="22"/>
    </row>
    <row r="370" spans="1:17" customFormat="1" ht="16.05" customHeight="1" thickBot="1" x14ac:dyDescent="0.35">
      <c r="A370" s="506"/>
      <c r="B370" s="221" t="s">
        <v>345</v>
      </c>
      <c r="C370" s="353" t="s">
        <v>536</v>
      </c>
      <c r="D370" s="221" t="s">
        <v>10</v>
      </c>
      <c r="E370" s="219"/>
      <c r="F370" s="585">
        <v>200</v>
      </c>
      <c r="G370" s="622">
        <f t="shared" si="68"/>
        <v>0</v>
      </c>
      <c r="H370" s="203">
        <f t="shared" si="69"/>
        <v>0</v>
      </c>
      <c r="I370" s="202"/>
      <c r="J370" s="22"/>
      <c r="K370" s="22"/>
      <c r="L370" s="22"/>
      <c r="M370" s="22"/>
      <c r="N370" s="22"/>
      <c r="O370" s="22"/>
      <c r="P370" s="22"/>
      <c r="Q370" s="22"/>
    </row>
    <row r="371" spans="1:17" customFormat="1" ht="16.05" customHeight="1" thickBot="1" x14ac:dyDescent="0.35">
      <c r="A371" s="506"/>
      <c r="B371" s="221" t="s">
        <v>347</v>
      </c>
      <c r="C371" s="353" t="s">
        <v>537</v>
      </c>
      <c r="D371" s="221" t="s">
        <v>10</v>
      </c>
      <c r="E371" s="219"/>
      <c r="F371" s="585">
        <v>215</v>
      </c>
      <c r="G371" s="622">
        <f t="shared" si="68"/>
        <v>0</v>
      </c>
      <c r="H371" s="203">
        <f t="shared" si="69"/>
        <v>0</v>
      </c>
      <c r="I371" s="202"/>
      <c r="J371" s="22"/>
      <c r="K371" s="22"/>
      <c r="L371" s="22"/>
      <c r="M371" s="22"/>
      <c r="N371" s="22"/>
      <c r="O371" s="22"/>
      <c r="P371" s="22"/>
      <c r="Q371" s="22"/>
    </row>
    <row r="372" spans="1:17" customFormat="1" ht="16.05" customHeight="1" thickBot="1" x14ac:dyDescent="0.35">
      <c r="A372" s="506"/>
      <c r="B372" s="221" t="s">
        <v>349</v>
      </c>
      <c r="C372" s="353" t="s">
        <v>538</v>
      </c>
      <c r="D372" s="221" t="s">
        <v>10</v>
      </c>
      <c r="E372" s="219"/>
      <c r="F372" s="585">
        <v>233</v>
      </c>
      <c r="G372" s="622">
        <f t="shared" si="68"/>
        <v>0</v>
      </c>
      <c r="H372" s="203">
        <f t="shared" si="69"/>
        <v>0</v>
      </c>
      <c r="I372" s="202"/>
      <c r="J372" s="22"/>
      <c r="K372" s="22"/>
      <c r="L372" s="22"/>
      <c r="M372" s="22"/>
      <c r="N372" s="22"/>
      <c r="O372" s="22"/>
      <c r="P372" s="22"/>
      <c r="Q372" s="22"/>
    </row>
    <row r="373" spans="1:17" customFormat="1" ht="16.05" customHeight="1" thickBot="1" x14ac:dyDescent="0.35">
      <c r="A373" s="506"/>
      <c r="B373" s="221" t="s">
        <v>351</v>
      </c>
      <c r="C373" s="353" t="s">
        <v>539</v>
      </c>
      <c r="D373" s="221" t="s">
        <v>10</v>
      </c>
      <c r="E373" s="219"/>
      <c r="F373" s="585">
        <v>247</v>
      </c>
      <c r="G373" s="622">
        <f t="shared" si="68"/>
        <v>0</v>
      </c>
      <c r="H373" s="203">
        <f t="shared" si="69"/>
        <v>0</v>
      </c>
      <c r="I373" s="202"/>
      <c r="J373" s="22"/>
      <c r="K373" s="22"/>
      <c r="L373" s="22"/>
      <c r="M373" s="22"/>
      <c r="N373" s="22"/>
      <c r="O373" s="22"/>
      <c r="P373" s="22"/>
      <c r="Q373" s="22"/>
    </row>
    <row r="374" spans="1:17" customFormat="1" ht="16.05" customHeight="1" thickBot="1" x14ac:dyDescent="0.35">
      <c r="A374" s="506"/>
      <c r="B374" s="221" t="s">
        <v>353</v>
      </c>
      <c r="C374" s="353" t="s">
        <v>540</v>
      </c>
      <c r="D374" s="221" t="s">
        <v>10</v>
      </c>
      <c r="E374" s="219"/>
      <c r="F374" s="585">
        <v>265</v>
      </c>
      <c r="G374" s="622">
        <f t="shared" si="68"/>
        <v>0</v>
      </c>
      <c r="H374" s="203">
        <f t="shared" si="69"/>
        <v>0</v>
      </c>
      <c r="I374" s="202"/>
      <c r="J374" s="22"/>
      <c r="K374" s="22"/>
      <c r="L374" s="22"/>
      <c r="M374" s="22"/>
      <c r="N374" s="22"/>
      <c r="O374" s="22"/>
      <c r="P374" s="22"/>
      <c r="Q374" s="22"/>
    </row>
    <row r="375" spans="1:17" customFormat="1" ht="16.05" customHeight="1" thickBot="1" x14ac:dyDescent="0.35">
      <c r="A375" s="506"/>
      <c r="B375" s="221" t="s">
        <v>355</v>
      </c>
      <c r="C375" s="353" t="s">
        <v>541</v>
      </c>
      <c r="D375" s="221" t="s">
        <v>10</v>
      </c>
      <c r="E375" s="219"/>
      <c r="F375" s="585">
        <v>283</v>
      </c>
      <c r="G375" s="622">
        <f t="shared" si="68"/>
        <v>0</v>
      </c>
      <c r="H375" s="203">
        <f t="shared" si="69"/>
        <v>0</v>
      </c>
      <c r="I375" s="202"/>
      <c r="J375" s="22"/>
      <c r="K375" s="22"/>
      <c r="L375" s="22"/>
      <c r="M375" s="22"/>
      <c r="N375" s="22"/>
      <c r="O375" s="22"/>
      <c r="P375" s="22"/>
      <c r="Q375" s="22"/>
    </row>
    <row r="376" spans="1:17" customFormat="1" ht="16.05" customHeight="1" thickBot="1" x14ac:dyDescent="0.35">
      <c r="A376" s="506"/>
      <c r="B376" s="221" t="s">
        <v>357</v>
      </c>
      <c r="C376" s="353" t="s">
        <v>542</v>
      </c>
      <c r="D376" s="221" t="s">
        <v>10</v>
      </c>
      <c r="E376" s="219"/>
      <c r="F376" s="585">
        <v>298</v>
      </c>
      <c r="G376" s="622">
        <f t="shared" si="68"/>
        <v>0</v>
      </c>
      <c r="H376" s="203">
        <f t="shared" si="69"/>
        <v>0</v>
      </c>
      <c r="I376" s="202"/>
      <c r="J376" s="22"/>
      <c r="K376" s="22"/>
      <c r="L376" s="22"/>
      <c r="M376" s="22"/>
      <c r="N376" s="22"/>
      <c r="O376" s="22"/>
      <c r="P376" s="22"/>
      <c r="Q376" s="22"/>
    </row>
    <row r="377" spans="1:17" customFormat="1" ht="16.05" customHeight="1" thickBot="1" x14ac:dyDescent="0.35">
      <c r="A377" s="506"/>
      <c r="B377" s="221" t="s">
        <v>359</v>
      </c>
      <c r="C377" s="353" t="s">
        <v>543</v>
      </c>
      <c r="D377" s="221" t="s">
        <v>10</v>
      </c>
      <c r="E377" s="219"/>
      <c r="F377" s="585">
        <v>314</v>
      </c>
      <c r="G377" s="622">
        <f t="shared" si="68"/>
        <v>0</v>
      </c>
      <c r="H377" s="203">
        <f t="shared" si="69"/>
        <v>0</v>
      </c>
      <c r="I377" s="202"/>
      <c r="J377" s="22"/>
      <c r="K377" s="22"/>
      <c r="L377" s="22"/>
      <c r="M377" s="22"/>
      <c r="N377" s="22"/>
      <c r="O377" s="22"/>
      <c r="P377" s="22"/>
      <c r="Q377" s="22"/>
    </row>
    <row r="378" spans="1:17" customFormat="1" ht="16.05" customHeight="1" thickBot="1" x14ac:dyDescent="0.35">
      <c r="A378" s="509"/>
      <c r="B378" s="510" t="s">
        <v>398</v>
      </c>
      <c r="C378" s="511" t="s">
        <v>607</v>
      </c>
      <c r="D378" s="510" t="s">
        <v>10</v>
      </c>
      <c r="E378" s="534"/>
      <c r="F378" s="586">
        <v>342</v>
      </c>
      <c r="G378" s="623">
        <f t="shared" si="68"/>
        <v>0</v>
      </c>
      <c r="H378" s="203">
        <f t="shared" si="69"/>
        <v>0</v>
      </c>
      <c r="I378" s="202"/>
      <c r="J378" s="22"/>
      <c r="K378" s="22"/>
      <c r="L378" s="22"/>
      <c r="M378" s="22"/>
      <c r="N378" s="22"/>
      <c r="O378" s="22"/>
      <c r="P378" s="22"/>
      <c r="Q378" s="22"/>
    </row>
    <row r="379" spans="1:17" customFormat="1" ht="18" customHeight="1" thickTop="1" thickBot="1" x14ac:dyDescent="0.35">
      <c r="A379" s="705" t="s">
        <v>544</v>
      </c>
      <c r="B379" s="709"/>
      <c r="C379" s="709"/>
      <c r="D379" s="535"/>
      <c r="E379" s="619"/>
      <c r="F379" s="579"/>
      <c r="G379" s="624"/>
      <c r="H379" s="209">
        <f>SUM(H380:H390)</f>
        <v>0</v>
      </c>
      <c r="I379" s="4"/>
      <c r="J379" s="22"/>
      <c r="K379" s="214"/>
      <c r="L379" s="214"/>
      <c r="M379" s="214"/>
      <c r="N379" s="214"/>
      <c r="O379" s="214"/>
      <c r="P379" s="22"/>
      <c r="Q379" s="22"/>
    </row>
    <row r="380" spans="1:17" customFormat="1" ht="16.05" customHeight="1" thickTop="1" thickBot="1" x14ac:dyDescent="0.35">
      <c r="A380" s="502"/>
      <c r="B380" s="536" t="s">
        <v>545</v>
      </c>
      <c r="C380" s="487" t="s">
        <v>546</v>
      </c>
      <c r="D380" s="503" t="s">
        <v>10</v>
      </c>
      <c r="E380" s="519"/>
      <c r="F380" s="584">
        <v>158</v>
      </c>
      <c r="G380" s="621">
        <f t="shared" ref="G380:G390" si="70">E380*F380</f>
        <v>0</v>
      </c>
      <c r="H380" s="203">
        <f t="shared" ref="H380:H390" si="71">E380</f>
        <v>0</v>
      </c>
      <c r="I380" s="202"/>
      <c r="J380" s="22"/>
      <c r="K380" s="214"/>
      <c r="L380" s="214"/>
      <c r="M380" s="214"/>
      <c r="N380" s="214"/>
      <c r="O380" s="214"/>
      <c r="P380" s="22"/>
      <c r="Q380" s="22"/>
    </row>
    <row r="381" spans="1:17" customFormat="1" ht="16.05" customHeight="1" thickBot="1" x14ac:dyDescent="0.35">
      <c r="A381" s="506"/>
      <c r="B381" s="537" t="s">
        <v>547</v>
      </c>
      <c r="C381" s="222" t="s">
        <v>548</v>
      </c>
      <c r="D381" s="221" t="s">
        <v>10</v>
      </c>
      <c r="E381" s="519"/>
      <c r="F381" s="585">
        <v>182</v>
      </c>
      <c r="G381" s="622">
        <f t="shared" si="70"/>
        <v>0</v>
      </c>
      <c r="H381" s="203">
        <f t="shared" si="71"/>
        <v>0</v>
      </c>
      <c r="I381" s="202"/>
      <c r="J381" s="22"/>
      <c r="K381" s="214"/>
      <c r="L381" s="214"/>
      <c r="M381" s="214"/>
      <c r="N381" s="214"/>
      <c r="O381" s="214"/>
      <c r="P381" s="22"/>
      <c r="Q381" s="22"/>
    </row>
    <row r="382" spans="1:17" customFormat="1" ht="16.05" customHeight="1" thickBot="1" x14ac:dyDescent="0.35">
      <c r="A382" s="506"/>
      <c r="B382" s="537" t="s">
        <v>549</v>
      </c>
      <c r="C382" s="222" t="s">
        <v>550</v>
      </c>
      <c r="D382" s="221" t="s">
        <v>10</v>
      </c>
      <c r="E382" s="519"/>
      <c r="F382" s="585">
        <v>202</v>
      </c>
      <c r="G382" s="622">
        <f t="shared" si="70"/>
        <v>0</v>
      </c>
      <c r="H382" s="203">
        <f t="shared" si="71"/>
        <v>0</v>
      </c>
      <c r="I382" s="202"/>
      <c r="J382" s="22"/>
      <c r="K382" s="22"/>
      <c r="L382" s="22"/>
      <c r="M382" s="22"/>
      <c r="N382" s="22"/>
      <c r="O382" s="22"/>
      <c r="P382" s="22"/>
      <c r="Q382" s="22"/>
    </row>
    <row r="383" spans="1:17" customFormat="1" ht="16.05" customHeight="1" thickBot="1" x14ac:dyDescent="0.35">
      <c r="A383" s="506"/>
      <c r="B383" s="537" t="s">
        <v>551</v>
      </c>
      <c r="C383" s="222" t="s">
        <v>552</v>
      </c>
      <c r="D383" s="221" t="s">
        <v>10</v>
      </c>
      <c r="E383" s="519"/>
      <c r="F383" s="585">
        <v>228</v>
      </c>
      <c r="G383" s="622">
        <f t="shared" si="70"/>
        <v>0</v>
      </c>
      <c r="H383" s="203">
        <f t="shared" si="71"/>
        <v>0</v>
      </c>
      <c r="I383" s="202"/>
      <c r="J383" s="22"/>
      <c r="K383" s="22"/>
      <c r="L383" s="22"/>
      <c r="M383" s="22"/>
      <c r="N383" s="22"/>
      <c r="O383" s="22"/>
      <c r="P383" s="22"/>
      <c r="Q383" s="22"/>
    </row>
    <row r="384" spans="1:17" customFormat="1" ht="16.05" customHeight="1" thickBot="1" x14ac:dyDescent="0.35">
      <c r="A384" s="506"/>
      <c r="B384" s="537" t="s">
        <v>553</v>
      </c>
      <c r="C384" s="222" t="s">
        <v>554</v>
      </c>
      <c r="D384" s="221" t="s">
        <v>10</v>
      </c>
      <c r="E384" s="519"/>
      <c r="F384" s="585">
        <v>252</v>
      </c>
      <c r="G384" s="622">
        <f t="shared" si="70"/>
        <v>0</v>
      </c>
      <c r="H384" s="203">
        <f t="shared" si="71"/>
        <v>0</v>
      </c>
      <c r="I384" s="202"/>
      <c r="J384" s="22"/>
      <c r="K384" s="22"/>
      <c r="L384" s="22"/>
      <c r="M384" s="22"/>
      <c r="N384" s="22"/>
      <c r="O384" s="22"/>
      <c r="P384" s="22"/>
      <c r="Q384" s="22"/>
    </row>
    <row r="385" spans="1:17" customFormat="1" ht="16.05" customHeight="1" thickBot="1" x14ac:dyDescent="0.35">
      <c r="A385" s="506"/>
      <c r="B385" s="537" t="s">
        <v>555</v>
      </c>
      <c r="C385" s="222" t="s">
        <v>556</v>
      </c>
      <c r="D385" s="221" t="s">
        <v>10</v>
      </c>
      <c r="E385" s="519"/>
      <c r="F385" s="585">
        <v>274</v>
      </c>
      <c r="G385" s="622">
        <f t="shared" si="70"/>
        <v>0</v>
      </c>
      <c r="H385" s="203">
        <f t="shared" si="71"/>
        <v>0</v>
      </c>
      <c r="I385" s="202"/>
      <c r="J385" s="22"/>
      <c r="K385" s="22"/>
      <c r="L385" s="22"/>
      <c r="M385" s="22" t="s">
        <v>14</v>
      </c>
      <c r="N385" s="22"/>
      <c r="O385" s="22"/>
      <c r="P385" s="22"/>
      <c r="Q385" s="22"/>
    </row>
    <row r="386" spans="1:17" customFormat="1" ht="16.05" customHeight="1" thickBot="1" x14ac:dyDescent="0.35">
      <c r="A386" s="506"/>
      <c r="B386" s="537" t="s">
        <v>557</v>
      </c>
      <c r="C386" s="222" t="s">
        <v>558</v>
      </c>
      <c r="D386" s="221" t="s">
        <v>10</v>
      </c>
      <c r="E386" s="519"/>
      <c r="F386" s="585">
        <v>294</v>
      </c>
      <c r="G386" s="622">
        <f t="shared" si="70"/>
        <v>0</v>
      </c>
      <c r="H386" s="203">
        <f t="shared" si="71"/>
        <v>0</v>
      </c>
      <c r="I386" s="202"/>
      <c r="J386" s="22"/>
      <c r="K386" s="22"/>
      <c r="L386" s="22"/>
      <c r="M386" s="22"/>
      <c r="N386" s="22"/>
      <c r="O386" s="22"/>
      <c r="P386" s="22"/>
      <c r="Q386" s="22"/>
    </row>
    <row r="387" spans="1:17" customFormat="1" ht="16.05" customHeight="1" thickBot="1" x14ac:dyDescent="0.35">
      <c r="A387" s="506"/>
      <c r="B387" s="537" t="s">
        <v>559</v>
      </c>
      <c r="C387" s="222" t="s">
        <v>560</v>
      </c>
      <c r="D387" s="221" t="s">
        <v>10</v>
      </c>
      <c r="E387" s="519"/>
      <c r="F387" s="585">
        <v>318</v>
      </c>
      <c r="G387" s="622">
        <f t="shared" si="70"/>
        <v>0</v>
      </c>
      <c r="H387" s="203">
        <f t="shared" si="71"/>
        <v>0</v>
      </c>
      <c r="I387" s="202"/>
      <c r="J387" s="22"/>
      <c r="K387" s="22"/>
      <c r="L387" s="22"/>
      <c r="M387" s="22"/>
      <c r="N387" s="22"/>
      <c r="O387" s="22"/>
      <c r="P387" s="22"/>
      <c r="Q387" s="22"/>
    </row>
    <row r="388" spans="1:17" customFormat="1" ht="16.05" customHeight="1" thickBot="1" x14ac:dyDescent="0.35">
      <c r="A388" s="506"/>
      <c r="B388" s="537" t="s">
        <v>561</v>
      </c>
      <c r="C388" s="222" t="s">
        <v>562</v>
      </c>
      <c r="D388" s="221" t="s">
        <v>10</v>
      </c>
      <c r="E388" s="519"/>
      <c r="F388" s="585">
        <v>342</v>
      </c>
      <c r="G388" s="622">
        <f t="shared" si="70"/>
        <v>0</v>
      </c>
      <c r="H388" s="203">
        <f t="shared" si="71"/>
        <v>0</v>
      </c>
      <c r="I388" s="202"/>
      <c r="J388" s="22"/>
      <c r="K388" s="22"/>
      <c r="L388" s="22"/>
      <c r="M388" s="22"/>
      <c r="N388" s="22"/>
      <c r="O388" s="22"/>
      <c r="P388" s="22"/>
      <c r="Q388" s="22"/>
    </row>
    <row r="389" spans="1:17" customFormat="1" ht="16.05" customHeight="1" thickBot="1" x14ac:dyDescent="0.35">
      <c r="A389" s="506"/>
      <c r="B389" s="537" t="s">
        <v>563</v>
      </c>
      <c r="C389" s="222" t="s">
        <v>564</v>
      </c>
      <c r="D389" s="221" t="s">
        <v>10</v>
      </c>
      <c r="E389" s="519"/>
      <c r="F389" s="585">
        <v>362</v>
      </c>
      <c r="G389" s="622">
        <f t="shared" si="70"/>
        <v>0</v>
      </c>
      <c r="H389" s="203">
        <f t="shared" si="71"/>
        <v>0</v>
      </c>
      <c r="I389" s="202"/>
      <c r="J389" s="22"/>
      <c r="K389" s="22"/>
      <c r="L389" s="22"/>
      <c r="M389" s="22"/>
      <c r="N389" s="22"/>
      <c r="O389" s="22"/>
      <c r="P389" s="22"/>
      <c r="Q389" s="22"/>
    </row>
    <row r="390" spans="1:17" customFormat="1" ht="16.05" customHeight="1" thickBot="1" x14ac:dyDescent="0.35">
      <c r="A390" s="509"/>
      <c r="B390" s="538" t="s">
        <v>565</v>
      </c>
      <c r="C390" s="539" t="s">
        <v>566</v>
      </c>
      <c r="D390" s="510" t="s">
        <v>10</v>
      </c>
      <c r="E390" s="519"/>
      <c r="F390" s="586">
        <v>382</v>
      </c>
      <c r="G390" s="623">
        <f t="shared" si="70"/>
        <v>0</v>
      </c>
      <c r="H390" s="203">
        <f t="shared" si="71"/>
        <v>0</v>
      </c>
      <c r="I390" s="202"/>
      <c r="J390" s="22"/>
      <c r="K390" s="22"/>
      <c r="L390" s="22"/>
      <c r="M390" s="22"/>
      <c r="N390" s="22"/>
      <c r="O390" s="22"/>
      <c r="P390" s="22"/>
      <c r="Q390" s="22"/>
    </row>
    <row r="391" spans="1:17" customFormat="1" ht="16.95" customHeight="1" thickTop="1" thickBot="1" x14ac:dyDescent="0.35">
      <c r="A391" s="707" t="s">
        <v>518</v>
      </c>
      <c r="B391" s="710"/>
      <c r="C391" s="710"/>
      <c r="D391" s="531"/>
      <c r="E391" s="618"/>
      <c r="F391" s="578"/>
      <c r="G391" s="625"/>
      <c r="H391" s="209">
        <f>SUM(H392:H398)</f>
        <v>0</v>
      </c>
      <c r="I391" s="4"/>
      <c r="J391" s="22"/>
      <c r="K391" s="22"/>
      <c r="L391" s="22"/>
      <c r="M391" s="22"/>
      <c r="N391" s="22"/>
      <c r="O391" s="22"/>
      <c r="P391" s="22"/>
      <c r="Q391" s="22"/>
    </row>
    <row r="392" spans="1:17" customFormat="1" ht="16.05" customHeight="1" thickTop="1" thickBot="1" x14ac:dyDescent="0.35">
      <c r="A392" s="502"/>
      <c r="B392" s="503" t="s">
        <v>381</v>
      </c>
      <c r="C392" s="504" t="s">
        <v>520</v>
      </c>
      <c r="D392" s="503" t="s">
        <v>10</v>
      </c>
      <c r="E392" s="503"/>
      <c r="F392" s="584">
        <v>54</v>
      </c>
      <c r="G392" s="621">
        <f t="shared" ref="G392:G398" si="72">E392*F392</f>
        <v>0</v>
      </c>
      <c r="H392" s="203">
        <f t="shared" ref="H392:H398" si="73">E392</f>
        <v>0</v>
      </c>
      <c r="I392" s="202"/>
      <c r="J392" s="22"/>
      <c r="K392" s="22"/>
      <c r="L392" s="22"/>
      <c r="M392" s="22"/>
      <c r="N392" s="22"/>
      <c r="O392" s="22"/>
      <c r="P392" s="22"/>
      <c r="Q392" s="22"/>
    </row>
    <row r="393" spans="1:17" customFormat="1" ht="16.05" customHeight="1" thickBot="1" x14ac:dyDescent="0.35">
      <c r="A393" s="502"/>
      <c r="B393" s="503" t="s">
        <v>521</v>
      </c>
      <c r="C393" s="504" t="s">
        <v>522</v>
      </c>
      <c r="D393" s="503" t="s">
        <v>10</v>
      </c>
      <c r="E393" s="503"/>
      <c r="F393" s="584">
        <v>58</v>
      </c>
      <c r="G393" s="621">
        <f t="shared" si="72"/>
        <v>0</v>
      </c>
      <c r="H393" s="203">
        <f t="shared" si="73"/>
        <v>0</v>
      </c>
      <c r="I393" s="202"/>
      <c r="J393" s="22"/>
      <c r="K393" s="22"/>
      <c r="L393" s="22"/>
      <c r="M393" s="22"/>
      <c r="N393" s="22"/>
      <c r="O393" s="22"/>
      <c r="P393" s="22"/>
      <c r="Q393" s="22"/>
    </row>
    <row r="394" spans="1:17" customFormat="1" ht="16.05" customHeight="1" thickBot="1" x14ac:dyDescent="0.35">
      <c r="A394" s="506"/>
      <c r="B394" s="221" t="s">
        <v>523</v>
      </c>
      <c r="C394" s="353" t="s">
        <v>524</v>
      </c>
      <c r="D394" s="221" t="s">
        <v>10</v>
      </c>
      <c r="E394" s="507"/>
      <c r="F394" s="585">
        <v>76</v>
      </c>
      <c r="G394" s="622">
        <f t="shared" si="72"/>
        <v>0</v>
      </c>
      <c r="H394" s="203">
        <f t="shared" si="73"/>
        <v>0</v>
      </c>
      <c r="I394" s="202"/>
      <c r="J394" s="22"/>
      <c r="K394" s="22"/>
      <c r="L394" s="22"/>
      <c r="M394" s="22"/>
      <c r="N394" s="22"/>
      <c r="O394" s="22"/>
      <c r="P394" s="22"/>
      <c r="Q394" s="22"/>
    </row>
    <row r="395" spans="1:17" customFormat="1" ht="16.05" customHeight="1" thickBot="1" x14ac:dyDescent="0.35">
      <c r="A395" s="506"/>
      <c r="B395" s="221" t="s">
        <v>450</v>
      </c>
      <c r="C395" s="353" t="s">
        <v>525</v>
      </c>
      <c r="D395" s="221" t="s">
        <v>10</v>
      </c>
      <c r="E395" s="507"/>
      <c r="F395" s="585">
        <v>82</v>
      </c>
      <c r="G395" s="622">
        <f t="shared" si="72"/>
        <v>0</v>
      </c>
      <c r="H395" s="203">
        <f t="shared" si="73"/>
        <v>0</v>
      </c>
      <c r="I395" s="202"/>
      <c r="J395" s="22"/>
      <c r="K395" s="22"/>
      <c r="L395" s="22"/>
      <c r="M395" s="22"/>
      <c r="N395" s="22"/>
      <c r="O395" s="22"/>
      <c r="P395" s="22"/>
      <c r="Q395" s="22"/>
    </row>
    <row r="396" spans="1:17" customFormat="1" ht="16.05" customHeight="1" thickBot="1" x14ac:dyDescent="0.35">
      <c r="A396" s="506"/>
      <c r="B396" s="221" t="s">
        <v>382</v>
      </c>
      <c r="C396" s="353" t="s">
        <v>526</v>
      </c>
      <c r="D396" s="221" t="s">
        <v>10</v>
      </c>
      <c r="E396" s="507"/>
      <c r="F396" s="585">
        <v>96</v>
      </c>
      <c r="G396" s="622">
        <f t="shared" si="72"/>
        <v>0</v>
      </c>
      <c r="H396" s="203">
        <f t="shared" si="73"/>
        <v>0</v>
      </c>
      <c r="I396" s="202"/>
      <c r="J396" s="22"/>
      <c r="K396" s="22"/>
      <c r="L396" s="22"/>
      <c r="M396" s="22"/>
      <c r="N396" s="22"/>
      <c r="O396" s="22"/>
      <c r="P396" s="22"/>
      <c r="Q396" s="22"/>
    </row>
    <row r="397" spans="1:17" customFormat="1" ht="16.05" customHeight="1" thickBot="1" x14ac:dyDescent="0.35">
      <c r="A397" s="506"/>
      <c r="B397" s="221" t="s">
        <v>383</v>
      </c>
      <c r="C397" s="353" t="s">
        <v>527</v>
      </c>
      <c r="D397" s="221" t="s">
        <v>10</v>
      </c>
      <c r="E397" s="507"/>
      <c r="F397" s="585">
        <v>102</v>
      </c>
      <c r="G397" s="622">
        <f t="shared" si="72"/>
        <v>0</v>
      </c>
      <c r="H397" s="203">
        <f t="shared" si="73"/>
        <v>0</v>
      </c>
      <c r="I397" s="202"/>
      <c r="J397" s="22"/>
      <c r="K397" s="22"/>
      <c r="L397" s="22"/>
      <c r="M397" s="22"/>
      <c r="N397" s="22"/>
      <c r="O397" s="22"/>
      <c r="P397" s="22"/>
      <c r="Q397" s="22"/>
    </row>
    <row r="398" spans="1:17" customFormat="1" ht="16.05" customHeight="1" thickBot="1" x14ac:dyDescent="0.35">
      <c r="A398" s="509"/>
      <c r="B398" s="510" t="s">
        <v>384</v>
      </c>
      <c r="C398" s="511" t="s">
        <v>528</v>
      </c>
      <c r="D398" s="510" t="s">
        <v>10</v>
      </c>
      <c r="E398" s="512"/>
      <c r="F398" s="586">
        <v>120</v>
      </c>
      <c r="G398" s="623">
        <f t="shared" si="72"/>
        <v>0</v>
      </c>
      <c r="H398" s="203">
        <f t="shared" si="73"/>
        <v>0</v>
      </c>
      <c r="I398" s="202"/>
      <c r="J398" s="22"/>
      <c r="K398" s="22"/>
      <c r="L398" s="22"/>
      <c r="M398" s="22"/>
      <c r="N398" s="22"/>
      <c r="O398" s="22"/>
      <c r="P398" s="22"/>
      <c r="Q398" s="22"/>
    </row>
    <row r="399" spans="1:17" customFormat="1" ht="16.95" customHeight="1" thickTop="1" thickBot="1" x14ac:dyDescent="0.35">
      <c r="A399" s="707" t="s">
        <v>567</v>
      </c>
      <c r="B399" s="710"/>
      <c r="C399" s="710"/>
      <c r="D399" s="710"/>
      <c r="E399" s="618"/>
      <c r="F399" s="531"/>
      <c r="G399" s="625"/>
      <c r="H399" s="209">
        <f>H400</f>
        <v>0</v>
      </c>
      <c r="I399" s="4"/>
      <c r="J399" s="22"/>
      <c r="K399" s="22"/>
      <c r="L399" s="22"/>
      <c r="M399" s="22"/>
      <c r="N399" s="22"/>
      <c r="O399" s="22"/>
      <c r="P399" s="22"/>
      <c r="Q399" s="22"/>
    </row>
    <row r="400" spans="1:17" customFormat="1" ht="16.05" customHeight="1" thickTop="1" thickBot="1" x14ac:dyDescent="0.35">
      <c r="A400" s="540"/>
      <c r="B400" s="541" t="s">
        <v>568</v>
      </c>
      <c r="C400" s="542" t="s">
        <v>569</v>
      </c>
      <c r="D400" s="541" t="s">
        <v>10</v>
      </c>
      <c r="E400" s="543"/>
      <c r="F400" s="587">
        <v>17</v>
      </c>
      <c r="G400" s="626">
        <f t="shared" ref="G400:G424" si="74">E400*F400</f>
        <v>0</v>
      </c>
      <c r="H400" s="203">
        <f t="shared" ref="H400:H424" si="75">E400</f>
        <v>0</v>
      </c>
      <c r="I400" s="5"/>
      <c r="J400" s="22"/>
      <c r="K400" s="22"/>
      <c r="L400" s="22"/>
      <c r="M400" s="22"/>
      <c r="N400" s="22"/>
      <c r="O400" s="22"/>
      <c r="P400" s="22"/>
      <c r="Q400" s="22"/>
    </row>
    <row r="401" spans="1:17" customFormat="1" ht="16.95" customHeight="1" thickTop="1" thickBot="1" x14ac:dyDescent="0.35">
      <c r="A401" s="705" t="s">
        <v>570</v>
      </c>
      <c r="B401" s="706"/>
      <c r="C401" s="706"/>
      <c r="D401" s="706"/>
      <c r="E401" s="620"/>
      <c r="F401" s="544"/>
      <c r="G401" s="627"/>
      <c r="H401" s="209">
        <f>H402</f>
        <v>0</v>
      </c>
      <c r="I401" s="4"/>
      <c r="J401" s="22"/>
      <c r="K401" s="22"/>
      <c r="L401" s="22"/>
      <c r="M401" s="22"/>
      <c r="N401" s="22"/>
      <c r="O401" s="22"/>
      <c r="P401" s="22"/>
      <c r="Q401" s="22"/>
    </row>
    <row r="402" spans="1:17" customFormat="1" ht="28.05" customHeight="1" thickTop="1" thickBot="1" x14ac:dyDescent="0.35">
      <c r="A402" s="530"/>
      <c r="B402" s="503" t="s">
        <v>571</v>
      </c>
      <c r="C402" s="545" t="s">
        <v>572</v>
      </c>
      <c r="D402" s="503" t="s">
        <v>10</v>
      </c>
      <c r="E402" s="543"/>
      <c r="F402" s="584">
        <v>60</v>
      </c>
      <c r="G402" s="621">
        <f t="shared" si="74"/>
        <v>0</v>
      </c>
      <c r="H402" s="203">
        <f t="shared" si="75"/>
        <v>0</v>
      </c>
      <c r="I402" s="202"/>
      <c r="J402" s="22"/>
      <c r="K402" s="22"/>
      <c r="L402" s="22"/>
      <c r="M402" s="22"/>
      <c r="N402" s="22"/>
      <c r="O402" s="22"/>
      <c r="P402" s="22"/>
      <c r="Q402" s="22"/>
    </row>
    <row r="403" spans="1:17" customFormat="1" ht="16.95" customHeight="1" thickTop="1" thickBot="1" x14ac:dyDescent="0.35">
      <c r="A403" s="705" t="s">
        <v>605</v>
      </c>
      <c r="B403" s="706"/>
      <c r="C403" s="706"/>
      <c r="D403" s="706"/>
      <c r="E403" s="620"/>
      <c r="F403" s="580"/>
      <c r="G403" s="627"/>
      <c r="H403" s="209">
        <f>H404</f>
        <v>0</v>
      </c>
      <c r="I403" s="4"/>
      <c r="J403" s="22"/>
      <c r="K403" s="22"/>
      <c r="L403" s="22"/>
      <c r="M403" s="22"/>
      <c r="N403" s="22"/>
      <c r="O403" s="22"/>
      <c r="P403" s="22"/>
      <c r="Q403" s="22"/>
    </row>
    <row r="404" spans="1:17" customFormat="1" ht="28.05" customHeight="1" thickTop="1" thickBot="1" x14ac:dyDescent="0.35">
      <c r="A404" s="506"/>
      <c r="B404" s="221" t="s">
        <v>571</v>
      </c>
      <c r="C404" s="360" t="s">
        <v>573</v>
      </c>
      <c r="D404" s="221" t="s">
        <v>529</v>
      </c>
      <c r="E404" s="546"/>
      <c r="F404" s="585">
        <v>104</v>
      </c>
      <c r="G404" s="622">
        <f t="shared" si="74"/>
        <v>0</v>
      </c>
      <c r="H404" s="203">
        <f t="shared" si="75"/>
        <v>0</v>
      </c>
      <c r="I404" s="202"/>
      <c r="J404" s="22"/>
      <c r="K404" s="22"/>
      <c r="L404" s="22"/>
      <c r="M404" s="22"/>
      <c r="N404" s="22"/>
      <c r="O404" s="22"/>
      <c r="P404" s="22"/>
      <c r="Q404" s="22"/>
    </row>
    <row r="405" spans="1:17" customFormat="1" ht="16.05" customHeight="1" thickBot="1" x14ac:dyDescent="0.35">
      <c r="A405" s="379"/>
      <c r="B405" s="221" t="s">
        <v>574</v>
      </c>
      <c r="C405" s="360" t="s">
        <v>575</v>
      </c>
      <c r="D405" s="221" t="s">
        <v>10</v>
      </c>
      <c r="E405" s="547"/>
      <c r="F405" s="585">
        <v>4.08</v>
      </c>
      <c r="G405" s="622">
        <f>E405*F405</f>
        <v>0</v>
      </c>
      <c r="H405" s="203">
        <f>E405</f>
        <v>0</v>
      </c>
      <c r="I405" s="202"/>
      <c r="J405" s="22"/>
      <c r="K405" s="22"/>
      <c r="L405" s="22"/>
      <c r="M405" s="22"/>
      <c r="N405" s="22"/>
      <c r="O405" s="22"/>
      <c r="P405" s="22"/>
      <c r="Q405" s="22"/>
    </row>
    <row r="406" spans="1:17" customFormat="1" ht="16.95" customHeight="1" thickTop="1" thickBot="1" x14ac:dyDescent="0.35">
      <c r="A406" s="707" t="s">
        <v>579</v>
      </c>
      <c r="B406" s="708"/>
      <c r="C406" s="708"/>
      <c r="D406" s="531"/>
      <c r="E406" s="618"/>
      <c r="F406" s="578"/>
      <c r="G406" s="625"/>
      <c r="H406" s="209">
        <f>SUM(H409:H424)</f>
        <v>0</v>
      </c>
      <c r="I406" s="4"/>
      <c r="J406" s="22"/>
      <c r="K406" s="22"/>
      <c r="L406" s="22"/>
      <c r="M406" s="22"/>
      <c r="N406" s="22"/>
      <c r="O406" s="22"/>
      <c r="P406" s="22"/>
      <c r="Q406" s="22"/>
    </row>
    <row r="407" spans="1:17" customFormat="1" ht="16.05" customHeight="1" thickTop="1" thickBot="1" x14ac:dyDescent="0.35">
      <c r="A407" s="581"/>
      <c r="B407" s="582" t="s">
        <v>576</v>
      </c>
      <c r="C407" s="376" t="s">
        <v>608</v>
      </c>
      <c r="D407" s="369" t="s">
        <v>577</v>
      </c>
      <c r="E407" s="583"/>
      <c r="F407" s="588">
        <v>12</v>
      </c>
      <c r="G407" s="628">
        <f>E407*F407</f>
        <v>0</v>
      </c>
      <c r="H407" s="203">
        <f>E407</f>
        <v>0</v>
      </c>
      <c r="I407" s="202"/>
      <c r="J407" s="22"/>
      <c r="K407" s="22"/>
      <c r="L407" s="22"/>
      <c r="M407" s="22"/>
      <c r="N407" s="22"/>
      <c r="O407" s="22"/>
      <c r="P407" s="22"/>
      <c r="Q407" s="22"/>
    </row>
    <row r="408" spans="1:17" customFormat="1" ht="16.05" customHeight="1" thickBot="1" x14ac:dyDescent="0.35">
      <c r="A408" s="548"/>
      <c r="B408" s="549" t="s">
        <v>578</v>
      </c>
      <c r="C408" s="353" t="s">
        <v>609</v>
      </c>
      <c r="D408" s="221" t="s">
        <v>577</v>
      </c>
      <c r="E408" s="547"/>
      <c r="F408" s="585">
        <v>15</v>
      </c>
      <c r="G408" s="622">
        <f>E408*F408</f>
        <v>0</v>
      </c>
      <c r="H408" s="203">
        <f>E408</f>
        <v>0</v>
      </c>
      <c r="I408" s="202"/>
      <c r="J408" s="22"/>
      <c r="K408" s="22"/>
      <c r="L408" s="22"/>
      <c r="M408" s="22"/>
      <c r="N408" s="22"/>
      <c r="O408" s="22"/>
      <c r="P408" s="22"/>
      <c r="Q408" s="22"/>
    </row>
    <row r="409" spans="1:17" customFormat="1" ht="16.05" customHeight="1" thickBot="1" x14ac:dyDescent="0.35">
      <c r="A409" s="502"/>
      <c r="B409" s="503" t="s">
        <v>236</v>
      </c>
      <c r="C409" s="504" t="s">
        <v>580</v>
      </c>
      <c r="D409" s="503" t="s">
        <v>61</v>
      </c>
      <c r="E409" s="503"/>
      <c r="F409" s="584">
        <v>50</v>
      </c>
      <c r="G409" s="621">
        <f t="shared" si="74"/>
        <v>0</v>
      </c>
      <c r="H409" s="203">
        <f t="shared" si="75"/>
        <v>0</v>
      </c>
      <c r="I409" s="202"/>
      <c r="J409" s="22"/>
      <c r="K409" s="22"/>
      <c r="L409" s="22"/>
      <c r="M409" s="22"/>
      <c r="N409" s="22"/>
      <c r="O409" s="22"/>
      <c r="P409" s="22"/>
      <c r="Q409" s="22"/>
    </row>
    <row r="410" spans="1:17" customFormat="1" ht="16.05" customHeight="1" thickBot="1" x14ac:dyDescent="0.35">
      <c r="A410" s="506"/>
      <c r="B410" s="221" t="s">
        <v>282</v>
      </c>
      <c r="C410" s="353" t="s">
        <v>581</v>
      </c>
      <c r="D410" s="221" t="s">
        <v>61</v>
      </c>
      <c r="E410" s="221"/>
      <c r="F410" s="585">
        <v>119</v>
      </c>
      <c r="G410" s="622">
        <f t="shared" si="74"/>
        <v>0</v>
      </c>
      <c r="H410" s="203">
        <f t="shared" si="75"/>
        <v>0</v>
      </c>
      <c r="I410" s="202"/>
      <c r="J410" s="22"/>
      <c r="K410" s="22"/>
      <c r="L410" s="22"/>
      <c r="M410" s="22"/>
      <c r="N410" s="22"/>
      <c r="O410" s="22"/>
      <c r="P410" s="22"/>
      <c r="Q410" s="22"/>
    </row>
    <row r="411" spans="1:17" customFormat="1" ht="16.05" customHeight="1" thickBot="1" x14ac:dyDescent="0.35">
      <c r="A411" s="550"/>
      <c r="B411" s="551" t="s">
        <v>582</v>
      </c>
      <c r="C411" s="360" t="s">
        <v>583</v>
      </c>
      <c r="D411" s="551" t="s">
        <v>10</v>
      </c>
      <c r="E411" s="551"/>
      <c r="F411" s="585">
        <v>0.55000000000000004</v>
      </c>
      <c r="G411" s="622">
        <f t="shared" si="74"/>
        <v>0</v>
      </c>
      <c r="H411" s="203">
        <f t="shared" si="75"/>
        <v>0</v>
      </c>
      <c r="I411" s="202"/>
      <c r="J411" s="22"/>
      <c r="K411" s="22"/>
      <c r="L411" s="22"/>
      <c r="M411" s="22"/>
      <c r="N411" s="22"/>
      <c r="O411" s="22"/>
      <c r="P411" s="22"/>
      <c r="Q411" s="22"/>
    </row>
    <row r="412" spans="1:17" customFormat="1" ht="16.05" customHeight="1" thickBot="1" x14ac:dyDescent="0.35">
      <c r="A412" s="550"/>
      <c r="B412" s="551" t="s">
        <v>584</v>
      </c>
      <c r="C412" s="360" t="s">
        <v>585</v>
      </c>
      <c r="D412" s="551" t="s">
        <v>10</v>
      </c>
      <c r="E412" s="551"/>
      <c r="F412" s="585">
        <v>0.55000000000000004</v>
      </c>
      <c r="G412" s="622">
        <f t="shared" si="74"/>
        <v>0</v>
      </c>
      <c r="H412" s="203">
        <f t="shared" si="75"/>
        <v>0</v>
      </c>
      <c r="I412" s="202"/>
      <c r="J412" s="22"/>
      <c r="K412" s="22"/>
      <c r="L412" s="22"/>
      <c r="M412" s="22"/>
      <c r="N412" s="22"/>
      <c r="O412" s="22"/>
      <c r="P412" s="22"/>
      <c r="Q412" s="22"/>
    </row>
    <row r="413" spans="1:17" customFormat="1" ht="16.05" customHeight="1" thickBot="1" x14ac:dyDescent="0.35">
      <c r="A413" s="550"/>
      <c r="B413" s="551" t="s">
        <v>586</v>
      </c>
      <c r="C413" s="360" t="s">
        <v>587</v>
      </c>
      <c r="D413" s="551" t="s">
        <v>10</v>
      </c>
      <c r="E413" s="552"/>
      <c r="F413" s="585">
        <v>0.8</v>
      </c>
      <c r="G413" s="622">
        <f t="shared" si="74"/>
        <v>0</v>
      </c>
      <c r="H413" s="203">
        <f t="shared" si="75"/>
        <v>0</v>
      </c>
      <c r="I413" s="202"/>
      <c r="J413" s="22"/>
      <c r="K413" s="22"/>
      <c r="L413" s="22"/>
      <c r="M413" s="22"/>
      <c r="N413" s="22"/>
      <c r="O413" s="22"/>
      <c r="P413" s="22"/>
      <c r="Q413" s="22"/>
    </row>
    <row r="414" spans="1:17" customFormat="1" ht="16.05" customHeight="1" thickBot="1" x14ac:dyDescent="0.35">
      <c r="A414" s="550"/>
      <c r="B414" s="551" t="s">
        <v>588</v>
      </c>
      <c r="C414" s="360" t="s">
        <v>589</v>
      </c>
      <c r="D414" s="551" t="s">
        <v>10</v>
      </c>
      <c r="E414" s="551"/>
      <c r="F414" s="585">
        <v>9.24</v>
      </c>
      <c r="G414" s="622">
        <f t="shared" si="74"/>
        <v>0</v>
      </c>
      <c r="H414" s="203">
        <f t="shared" si="75"/>
        <v>0</v>
      </c>
      <c r="I414" s="202"/>
      <c r="J414" s="22"/>
      <c r="K414" s="22"/>
      <c r="L414" s="22"/>
      <c r="M414" s="22"/>
      <c r="N414" s="22"/>
      <c r="O414" s="22"/>
      <c r="P414" s="22"/>
      <c r="Q414" s="22"/>
    </row>
    <row r="415" spans="1:17" customFormat="1" ht="16.05" customHeight="1" thickBot="1" x14ac:dyDescent="0.35">
      <c r="A415" s="550"/>
      <c r="B415" s="551" t="s">
        <v>590</v>
      </c>
      <c r="C415" s="360" t="s">
        <v>591</v>
      </c>
      <c r="D415" s="551" t="s">
        <v>10</v>
      </c>
      <c r="E415" s="552"/>
      <c r="F415" s="585">
        <v>4</v>
      </c>
      <c r="G415" s="622">
        <f t="shared" si="74"/>
        <v>0</v>
      </c>
      <c r="H415" s="203">
        <f t="shared" si="75"/>
        <v>0</v>
      </c>
      <c r="I415" s="202"/>
      <c r="J415" s="22"/>
      <c r="K415" s="22"/>
      <c r="L415" s="22"/>
      <c r="M415" s="22"/>
      <c r="N415" s="22"/>
      <c r="O415" s="22"/>
      <c r="P415" s="22"/>
      <c r="Q415" s="22"/>
    </row>
    <row r="416" spans="1:17" customFormat="1" ht="16.05" customHeight="1" thickBot="1" x14ac:dyDescent="0.35">
      <c r="A416" s="550"/>
      <c r="B416" s="551">
        <v>720200</v>
      </c>
      <c r="C416" s="360" t="s">
        <v>592</v>
      </c>
      <c r="D416" s="551" t="s">
        <v>10</v>
      </c>
      <c r="E416" s="551"/>
      <c r="F416" s="585">
        <v>5</v>
      </c>
      <c r="G416" s="622">
        <f t="shared" si="74"/>
        <v>0</v>
      </c>
      <c r="H416" s="203">
        <f t="shared" si="75"/>
        <v>0</v>
      </c>
      <c r="I416" s="202"/>
      <c r="J416" s="22"/>
      <c r="K416" s="22"/>
      <c r="L416" s="22"/>
      <c r="M416" s="22"/>
      <c r="N416" s="22"/>
      <c r="O416" s="22"/>
      <c r="P416" s="22"/>
      <c r="Q416" s="22"/>
    </row>
    <row r="417" spans="1:17" customFormat="1" ht="16.05" customHeight="1" thickBot="1" x14ac:dyDescent="0.35">
      <c r="A417" s="553"/>
      <c r="B417" s="554">
        <v>630112</v>
      </c>
      <c r="C417" s="555" t="s">
        <v>488</v>
      </c>
      <c r="D417" s="554" t="s">
        <v>83</v>
      </c>
      <c r="E417" s="554"/>
      <c r="F417" s="585">
        <v>81</v>
      </c>
      <c r="G417" s="622">
        <f t="shared" si="74"/>
        <v>0</v>
      </c>
      <c r="H417" s="203">
        <f t="shared" si="75"/>
        <v>0</v>
      </c>
      <c r="I417" s="202"/>
      <c r="J417" s="22"/>
      <c r="K417" s="22"/>
      <c r="L417" s="22"/>
      <c r="M417" s="22"/>
      <c r="N417" s="22"/>
      <c r="O417" s="22"/>
      <c r="P417" s="22"/>
      <c r="Q417" s="22"/>
    </row>
    <row r="418" spans="1:17" customFormat="1" ht="16.05" customHeight="1" thickBot="1" x14ac:dyDescent="0.35">
      <c r="A418" s="553"/>
      <c r="B418" s="554">
        <v>630113</v>
      </c>
      <c r="C418" s="556" t="s">
        <v>491</v>
      </c>
      <c r="D418" s="554" t="s">
        <v>83</v>
      </c>
      <c r="E418" s="554"/>
      <c r="F418" s="585">
        <v>123</v>
      </c>
      <c r="G418" s="622">
        <f t="shared" si="74"/>
        <v>0</v>
      </c>
      <c r="H418" s="203">
        <f t="shared" si="75"/>
        <v>0</v>
      </c>
      <c r="I418" s="202"/>
      <c r="J418" s="22"/>
      <c r="K418" s="22"/>
      <c r="L418" s="22"/>
      <c r="M418" s="22"/>
      <c r="N418" s="22"/>
      <c r="O418" s="22"/>
      <c r="P418" s="22"/>
      <c r="Q418" s="22"/>
    </row>
    <row r="419" spans="1:17" customFormat="1" ht="16.05" customHeight="1" thickBot="1" x14ac:dyDescent="0.35">
      <c r="A419" s="506"/>
      <c r="B419" s="221" t="s">
        <v>492</v>
      </c>
      <c r="C419" s="353" t="s">
        <v>593</v>
      </c>
      <c r="D419" s="221" t="s">
        <v>529</v>
      </c>
      <c r="E419" s="221"/>
      <c r="F419" s="585">
        <v>6</v>
      </c>
      <c r="G419" s="622">
        <f t="shared" si="74"/>
        <v>0</v>
      </c>
      <c r="H419" s="203">
        <f t="shared" si="75"/>
        <v>0</v>
      </c>
      <c r="I419" s="202"/>
      <c r="J419" s="22"/>
      <c r="K419" s="22"/>
      <c r="L419" s="22"/>
      <c r="M419" s="22"/>
      <c r="N419" s="22"/>
      <c r="O419" s="22"/>
      <c r="P419" s="22"/>
      <c r="Q419" s="22"/>
    </row>
    <row r="420" spans="1:17" customFormat="1" ht="16.05" customHeight="1" thickBot="1" x14ac:dyDescent="0.35">
      <c r="A420" s="550"/>
      <c r="B420" s="551" t="s">
        <v>594</v>
      </c>
      <c r="C420" s="353" t="s">
        <v>595</v>
      </c>
      <c r="D420" s="551" t="s">
        <v>10</v>
      </c>
      <c r="E420" s="552"/>
      <c r="F420" s="585">
        <v>8</v>
      </c>
      <c r="G420" s="622">
        <f t="shared" si="74"/>
        <v>0</v>
      </c>
      <c r="H420" s="203">
        <f t="shared" si="75"/>
        <v>0</v>
      </c>
      <c r="I420" s="557"/>
      <c r="J420" s="22"/>
      <c r="K420" s="22"/>
      <c r="L420" s="22"/>
      <c r="M420" s="22"/>
      <c r="N420" s="22"/>
      <c r="O420" s="22"/>
      <c r="P420" s="22"/>
      <c r="Q420" s="22"/>
    </row>
    <row r="421" spans="1:17" customFormat="1" ht="16.05" customHeight="1" thickBot="1" x14ac:dyDescent="0.35">
      <c r="A421" s="550"/>
      <c r="B421" s="551" t="s">
        <v>596</v>
      </c>
      <c r="C421" s="353" t="s">
        <v>597</v>
      </c>
      <c r="D421" s="551" t="s">
        <v>10</v>
      </c>
      <c r="E421" s="551"/>
      <c r="F421" s="585">
        <v>304</v>
      </c>
      <c r="G421" s="622">
        <f t="shared" si="74"/>
        <v>0</v>
      </c>
      <c r="H421" s="203">
        <f t="shared" si="75"/>
        <v>0</v>
      </c>
      <c r="I421" s="557"/>
      <c r="J421" s="22"/>
      <c r="K421" s="22"/>
      <c r="L421" s="22"/>
      <c r="M421" s="22"/>
      <c r="N421" s="22"/>
      <c r="O421" s="22"/>
      <c r="P421" s="22"/>
      <c r="Q421" s="22"/>
    </row>
    <row r="422" spans="1:17" customFormat="1" ht="16.05" customHeight="1" thickBot="1" x14ac:dyDescent="0.35">
      <c r="A422" s="550"/>
      <c r="B422" s="551" t="s">
        <v>598</v>
      </c>
      <c r="C422" s="353" t="s">
        <v>599</v>
      </c>
      <c r="D422" s="551" t="s">
        <v>10</v>
      </c>
      <c r="E422" s="551"/>
      <c r="F422" s="585">
        <v>21</v>
      </c>
      <c r="G422" s="622">
        <f t="shared" si="74"/>
        <v>0</v>
      </c>
      <c r="H422" s="203">
        <f t="shared" si="75"/>
        <v>0</v>
      </c>
      <c r="I422" s="557"/>
      <c r="J422" s="22"/>
      <c r="K422" s="22"/>
      <c r="L422" s="22"/>
      <c r="M422" s="22"/>
      <c r="N422" s="22"/>
      <c r="O422" s="22"/>
      <c r="P422" s="22"/>
      <c r="Q422" s="22"/>
    </row>
    <row r="423" spans="1:17" customFormat="1" ht="16.05" customHeight="1" thickBot="1" x14ac:dyDescent="0.35">
      <c r="A423" s="550"/>
      <c r="B423" s="551" t="s">
        <v>600</v>
      </c>
      <c r="C423" s="353" t="s">
        <v>601</v>
      </c>
      <c r="D423" s="551" t="s">
        <v>10</v>
      </c>
      <c r="E423" s="551"/>
      <c r="F423" s="585">
        <v>145</v>
      </c>
      <c r="G423" s="622">
        <f t="shared" si="74"/>
        <v>0</v>
      </c>
      <c r="H423" s="203">
        <f t="shared" si="75"/>
        <v>0</v>
      </c>
      <c r="I423" s="558"/>
      <c r="J423" s="22"/>
      <c r="K423" s="22"/>
      <c r="L423" s="22"/>
      <c r="M423" s="22"/>
      <c r="N423" s="22"/>
      <c r="O423" s="22"/>
      <c r="P423" s="22"/>
      <c r="Q423" s="22"/>
    </row>
    <row r="424" spans="1:17" customFormat="1" ht="16.05" customHeight="1" thickBot="1" x14ac:dyDescent="0.35">
      <c r="A424" s="559"/>
      <c r="B424" s="372" t="s">
        <v>602</v>
      </c>
      <c r="C424" s="382" t="s">
        <v>603</v>
      </c>
      <c r="D424" s="560" t="s">
        <v>10</v>
      </c>
      <c r="E424" s="560"/>
      <c r="F424" s="589">
        <v>28</v>
      </c>
      <c r="G424" s="629">
        <f t="shared" si="74"/>
        <v>0</v>
      </c>
      <c r="H424" s="203">
        <f t="shared" si="75"/>
        <v>0</v>
      </c>
      <c r="I424" s="558"/>
      <c r="J424" s="22"/>
      <c r="K424" s="22"/>
      <c r="L424" s="22"/>
      <c r="M424" s="22"/>
      <c r="N424" s="22"/>
      <c r="O424" s="22"/>
      <c r="P424" s="22"/>
      <c r="Q424" s="22"/>
    </row>
    <row r="425" spans="1:17" ht="16.05" customHeight="1" thickTop="1" thickBot="1" x14ac:dyDescent="0.25">
      <c r="A425" s="514" t="s">
        <v>18</v>
      </c>
      <c r="B425" s="515"/>
      <c r="C425" s="515"/>
      <c r="D425" s="516"/>
      <c r="E425" s="516"/>
      <c r="F425" s="517"/>
      <c r="G425" s="518">
        <f>SUM(G19:G359)</f>
        <v>0</v>
      </c>
      <c r="H425" s="17"/>
    </row>
    <row r="426" spans="1:17" ht="16.05" customHeight="1" thickTop="1" thickBot="1" x14ac:dyDescent="0.25">
      <c r="A426" s="239">
        <v>0</v>
      </c>
      <c r="B426" s="240" t="s">
        <v>414</v>
      </c>
      <c r="C426" s="241"/>
      <c r="D426" s="241"/>
      <c r="E426" s="241"/>
      <c r="F426" s="242"/>
      <c r="G426" s="26">
        <f>G425*(1-A426)</f>
        <v>0</v>
      </c>
    </row>
    <row r="427" spans="1:17" ht="16.05" customHeight="1" thickTop="1" thickBot="1" x14ac:dyDescent="0.25">
      <c r="A427" s="10" t="s">
        <v>415</v>
      </c>
      <c r="B427" s="205"/>
      <c r="C427" s="205"/>
      <c r="D427" s="205"/>
      <c r="E427" s="205"/>
      <c r="F427" s="205"/>
      <c r="G427" s="26">
        <f>G426*1.21</f>
        <v>0</v>
      </c>
    </row>
    <row r="428" spans="1:17" ht="12" customHeight="1" thickTop="1" x14ac:dyDescent="0.2"/>
    <row r="430" spans="1:17" x14ac:dyDescent="0.2">
      <c r="A430" s="682" t="s">
        <v>20</v>
      </c>
      <c r="B430" s="682"/>
      <c r="C430" s="682"/>
      <c r="D430" s="682"/>
      <c r="E430" s="682"/>
      <c r="F430" s="682"/>
      <c r="G430" s="682"/>
    </row>
    <row r="431" spans="1:17" ht="24.45" customHeight="1" x14ac:dyDescent="0.2">
      <c r="A431" s="684" t="s">
        <v>86</v>
      </c>
      <c r="B431" s="684"/>
      <c r="C431" s="684"/>
      <c r="D431" s="684"/>
      <c r="E431" s="684"/>
      <c r="F431" s="684"/>
      <c r="G431" s="684"/>
    </row>
    <row r="432" spans="1:17" ht="14.4" x14ac:dyDescent="0.3">
      <c r="A432" s="15"/>
      <c r="B432" s="22"/>
      <c r="C432" s="22"/>
      <c r="D432" s="22"/>
      <c r="E432" s="22"/>
      <c r="F432" s="22"/>
      <c r="G432" s="22"/>
    </row>
    <row r="433" spans="1:8" ht="14.55" customHeight="1" x14ac:dyDescent="0.2">
      <c r="A433" s="1" t="s">
        <v>21</v>
      </c>
      <c r="B433" s="15"/>
      <c r="C433" s="15"/>
      <c r="D433" s="15"/>
      <c r="E433" s="15"/>
      <c r="F433" s="15"/>
      <c r="G433" s="15"/>
      <c r="H433" s="201"/>
    </row>
    <row r="434" spans="1:8" ht="14.55" customHeight="1" x14ac:dyDescent="0.2">
      <c r="A434" s="702" t="s">
        <v>413</v>
      </c>
      <c r="B434" s="702"/>
      <c r="C434" s="702"/>
      <c r="D434" s="702"/>
      <c r="E434" s="702"/>
      <c r="F434" s="702"/>
      <c r="G434" s="702"/>
      <c r="H434" s="201"/>
    </row>
    <row r="435" spans="1:8" ht="14.55" customHeight="1" x14ac:dyDescent="0.2">
      <c r="A435" s="702" t="s">
        <v>22</v>
      </c>
      <c r="B435" s="702"/>
      <c r="C435" s="702"/>
      <c r="D435" s="702"/>
      <c r="E435" s="702"/>
      <c r="F435" s="702"/>
      <c r="G435" s="702"/>
      <c r="H435" s="201"/>
    </row>
    <row r="436" spans="1:8" ht="14.55" customHeight="1" x14ac:dyDescent="0.2">
      <c r="A436" s="702" t="s">
        <v>23</v>
      </c>
      <c r="B436" s="702"/>
      <c r="C436" s="702"/>
      <c r="D436" s="702"/>
      <c r="E436" s="702"/>
      <c r="F436" s="702"/>
      <c r="G436" s="702"/>
      <c r="H436" s="201"/>
    </row>
    <row r="438" spans="1:8" ht="14.55" customHeight="1" x14ac:dyDescent="0.2">
      <c r="B438" s="1" t="s">
        <v>11</v>
      </c>
      <c r="C438" s="2"/>
    </row>
    <row r="439" spans="1:8" ht="14.55" customHeight="1" x14ac:dyDescent="0.2">
      <c r="B439" s="671" t="s">
        <v>422</v>
      </c>
      <c r="C439" s="672"/>
    </row>
    <row r="440" spans="1:8" ht="14.55" customHeight="1" x14ac:dyDescent="0.2">
      <c r="B440" s="671" t="s">
        <v>423</v>
      </c>
      <c r="C440" s="672"/>
    </row>
    <row r="441" spans="1:8" ht="14.55" customHeight="1" x14ac:dyDescent="0.2">
      <c r="B441" s="6" t="s">
        <v>12</v>
      </c>
    </row>
    <row r="442" spans="1:8" ht="14.55" customHeight="1" x14ac:dyDescent="0.2">
      <c r="B442" s="6"/>
    </row>
    <row r="443" spans="1:8" x14ac:dyDescent="0.2">
      <c r="B443" s="6"/>
    </row>
  </sheetData>
  <autoFilter ref="H17:H427" xr:uid="{00000000-0009-0000-0000-000000000000}"/>
  <mergeCells count="31">
    <mergeCell ref="B439:C439"/>
    <mergeCell ref="B440:C440"/>
    <mergeCell ref="A430:G430"/>
    <mergeCell ref="A431:G431"/>
    <mergeCell ref="A434:G434"/>
    <mergeCell ref="A435:G435"/>
    <mergeCell ref="B16:B17"/>
    <mergeCell ref="C16:C17"/>
    <mergeCell ref="D16:D17"/>
    <mergeCell ref="E16:E17"/>
    <mergeCell ref="A436:G436"/>
    <mergeCell ref="A360:C360"/>
    <mergeCell ref="A401:D401"/>
    <mergeCell ref="A403:D403"/>
    <mergeCell ref="A406:C406"/>
    <mergeCell ref="A363:C363"/>
    <mergeCell ref="A379:C379"/>
    <mergeCell ref="A391:C391"/>
    <mergeCell ref="A399:D399"/>
    <mergeCell ref="A8:C8"/>
    <mergeCell ref="A9:C9"/>
    <mergeCell ref="A10:F10"/>
    <mergeCell ref="A11:F11"/>
    <mergeCell ref="A15:G15"/>
    <mergeCell ref="A14:G14"/>
    <mergeCell ref="A7:C7"/>
    <mergeCell ref="C1:G1"/>
    <mergeCell ref="A2:C2"/>
    <mergeCell ref="A4:C4"/>
    <mergeCell ref="A5:C5"/>
    <mergeCell ref="A6:C6"/>
  </mergeCells>
  <phoneticPr fontId="17" type="noConversion"/>
  <hyperlinks>
    <hyperlink ref="B441" r:id="rId1" xr:uid="{9781C005-79E4-4053-83F8-9B312A4BEEBA}"/>
  </hyperlinks>
  <pageMargins left="0.70866141732283505" right="0.23622047244094499" top="1.14173228346457" bottom="1.0629921259842501" header="0.196850393700787" footer="0.15748031496063"/>
  <pageSetup paperSize="9" scale="83" orientation="portrait" r:id="rId2"/>
  <headerFooter scaleWithDoc="0" alignWithMargins="0">
    <oddHeader>&amp;L&amp;G&amp;R&amp;G</oddHeader>
    <oddFooter xml:space="preserve">&amp;LRO33404978
J40/8589/2014
RO56INGB0000999915150915
ING BANK NV&amp;CStr. Învingătorilor nr. 27, Sector 3, București
Tel :  (+4) 0314.361.836
Mobil:  (+4) 0724.204.888
             (+4) 0766.367.287&amp;REmail: 
comercial@magnumheating.ro
</oddFooter>
  </headerFooter>
  <colBreaks count="1" manualBreakCount="1">
    <brk id="7" max="1048575" man="1"/>
  </col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calcule pt oferta</vt:lpstr>
      <vt:lpstr>electric-degivr-agent termic</vt:lpstr>
      <vt:lpstr>'calcule pt oferta'!Print_Area</vt:lpstr>
      <vt:lpstr>'electric-degivr-agent termic'!Print_Area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Comercial  (Magnum Heating RO)</cp:lastModifiedBy>
  <cp:lastPrinted>2026-01-19T10:02:59Z</cp:lastPrinted>
  <dcterms:created xsi:type="dcterms:W3CDTF">2022-07-26T13:17:27Z</dcterms:created>
  <dcterms:modified xsi:type="dcterms:W3CDTF">2026-02-09T16:03:46Z</dcterms:modified>
</cp:coreProperties>
</file>